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line.correa\Desktop\27 - NOVA ESPERANÇA\"/>
    </mc:Choice>
  </mc:AlternateContent>
  <bookViews>
    <workbookView xWindow="-60" yWindow="-60" windowWidth="28920" windowHeight="15720" tabRatio="857" activeTab="2"/>
  </bookViews>
  <sheets>
    <sheet name="RESUMO" sheetId="5" r:id="rId1"/>
    <sheet name="QUANT" sheetId="2" r:id="rId2"/>
    <sheet name="ORÇA " sheetId="4" r:id="rId3"/>
    <sheet name="TRANSP" sheetId="3" r:id="rId4"/>
    <sheet name="TRANSP CAP RR-2C E CM-30" sheetId="60" r:id="rId5"/>
    <sheet name="AQUISIÇ MAT BETUMISO" sheetId="62" r:id="rId6"/>
    <sheet name="CFF" sheetId="31" r:id="rId7"/>
    <sheet name="TERRAP E PAVIM" sheetId="19" r:id="rId8"/>
    <sheet name="MEMORIAL DE CALCULO" sheetId="8" r:id="rId9"/>
    <sheet name="BDI" sheetId="22" r:id="rId10"/>
    <sheet name="BDI DIFERENCIADO" sheetId="33" r:id="rId11"/>
    <sheet name="SN HOR" sheetId="28" r:id="rId12"/>
    <sheet name="SN VERT" sheetId="29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6">CFF!$A$1:$W$52</definedName>
    <definedName name="_xlnm.Print_Area" localSheetId="2">'ORÇA '!$A$1:$J$100</definedName>
    <definedName name="_xlnm.Print_Area" localSheetId="1">QUANT!$A$1:$F$95</definedName>
    <definedName name="_xlnm.Print_Area" localSheetId="11">'SN HOR'!$A$1:$G$21</definedName>
    <definedName name="_xlnm.Print_Area" localSheetId="3">TRANSP!$A$10:$J$21</definedName>
    <definedName name="_xlnm.Print_Titles" localSheetId="2">'ORÇA '!$1:$6</definedName>
    <definedName name="_xlnm.Print_Titles" localSheetId="1">QUANT!$1:$7</definedName>
    <definedName name="Z_E8D46A29_8D28_49CA_936A_9705D639E1C7_.wvu.PrintArea" localSheetId="2" hidden="1">'ORÇA '!#REF!</definedName>
  </definedNames>
  <calcPr calcId="191029"/>
  <customWorkbookViews>
    <customWorkbookView name="joão - Modo de exibição pessoal" guid="{E8D46A29-8D28-49CA-936A-9705D639E1C7}" mergeInterval="0" personalView="1" maximized="1" xWindow="1" yWindow="1" windowWidth="1600" windowHeight="61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&lt;: - Modo de exibição pessoal" guid="{AFF92C80-53BE-11D2-88E1-0040C72A12C5}" mergeInterval="0" personalView="1" maximized="1" windowWidth="796" windowHeight="400" tabRatio="857" activeSheetId="3"/>
    <customWorkbookView name="Máquina2 - Modo de exibição pessoal" guid="{F1F53240-5C6B-11D2-88BD-0040C72A12C5}" mergeInterval="0" personalView="1" maximized="1" windowWidth="796" windowHeight="411" tabRatio="857" activeSheetId="5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PENTIUM - Modo de exibição pessoal" guid="{96D85DE4-FE1B-11D2-8AAF-0040C72A12C5}" mergeInterval="0" personalView="1" maximized="1" windowWidth="796" windowHeight="411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H47" i="4"/>
  <c r="H46" i="4"/>
  <c r="H45" i="4"/>
  <c r="D46" i="60"/>
  <c r="E46" i="60" s="1"/>
  <c r="I46" i="60" s="1"/>
  <c r="H46" i="60"/>
  <c r="D52" i="60"/>
  <c r="E52" i="60" s="1"/>
  <c r="I52" i="60" s="1"/>
  <c r="H52" i="60"/>
  <c r="D53" i="60"/>
  <c r="E53" i="60" s="1"/>
  <c r="I53" i="60" s="1"/>
  <c r="H53" i="60"/>
  <c r="D54" i="60"/>
  <c r="E54" i="60" s="1"/>
  <c r="I54" i="60" s="1"/>
  <c r="H54" i="60"/>
  <c r="G46" i="4"/>
  <c r="G47" i="4"/>
  <c r="G45" i="4"/>
  <c r="F27" i="4"/>
  <c r="F76" i="4"/>
  <c r="A7" i="4"/>
  <c r="B7" i="4"/>
  <c r="D7" i="4"/>
  <c r="A8" i="4"/>
  <c r="B8" i="4"/>
  <c r="C8" i="4"/>
  <c r="D8" i="4"/>
  <c r="E8" i="4"/>
  <c r="F8" i="4"/>
  <c r="A9" i="4"/>
  <c r="B9" i="4"/>
  <c r="C9" i="4"/>
  <c r="D9" i="4"/>
  <c r="E9" i="4"/>
  <c r="F9" i="4"/>
  <c r="A10" i="4"/>
  <c r="B10" i="4"/>
  <c r="C10" i="4"/>
  <c r="D10" i="4"/>
  <c r="E10" i="4"/>
  <c r="F10" i="4"/>
  <c r="A11" i="4"/>
  <c r="B11" i="4"/>
  <c r="C11" i="4"/>
  <c r="D11" i="4"/>
  <c r="E11" i="4"/>
  <c r="F11" i="4"/>
  <c r="A13" i="4"/>
  <c r="B13" i="4"/>
  <c r="D13" i="4"/>
  <c r="B17" i="5" s="1"/>
  <c r="A14" i="4"/>
  <c r="B14" i="4"/>
  <c r="C14" i="4"/>
  <c r="D14" i="4"/>
  <c r="A16" i="4"/>
  <c r="B16" i="4"/>
  <c r="D16" i="4"/>
  <c r="A17" i="4"/>
  <c r="B17" i="4"/>
  <c r="C17" i="4"/>
  <c r="D17" i="4"/>
  <c r="E17" i="4"/>
  <c r="A18" i="4"/>
  <c r="B18" i="4"/>
  <c r="C18" i="4"/>
  <c r="D18" i="4"/>
  <c r="E18" i="4"/>
  <c r="A19" i="4"/>
  <c r="B19" i="4"/>
  <c r="C19" i="4"/>
  <c r="D19" i="4"/>
  <c r="E19" i="4"/>
  <c r="A20" i="4"/>
  <c r="B20" i="4"/>
  <c r="C20" i="4"/>
  <c r="D20" i="4"/>
  <c r="E20" i="4"/>
  <c r="A22" i="4"/>
  <c r="D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3" i="4"/>
  <c r="B33" i="4"/>
  <c r="A26" i="5"/>
  <c r="A19" i="31" s="1"/>
  <c r="D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4" i="4"/>
  <c r="B44" i="4"/>
  <c r="D44" i="4"/>
  <c r="B29" i="5" s="1"/>
  <c r="B22" i="31" s="1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9" i="4"/>
  <c r="B49" i="4"/>
  <c r="C49" i="4"/>
  <c r="D49" i="4"/>
  <c r="B32" i="5" s="1"/>
  <c r="B25" i="31" s="1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5" i="4"/>
  <c r="B55" i="4"/>
  <c r="A35" i="5" s="1"/>
  <c r="A28" i="31" s="1"/>
  <c r="D55" i="4"/>
  <c r="B35" i="5" s="1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1" i="4"/>
  <c r="B61" i="4"/>
  <c r="A38" i="5"/>
  <c r="A31" i="31" s="1"/>
  <c r="D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A68" i="4"/>
  <c r="B68" i="4"/>
  <c r="D68" i="4"/>
  <c r="A69" i="4"/>
  <c r="B69" i="4"/>
  <c r="C69" i="4"/>
  <c r="D69" i="4"/>
  <c r="E69" i="4"/>
  <c r="F69" i="4"/>
  <c r="A70" i="4"/>
  <c r="B70" i="4"/>
  <c r="C70" i="4"/>
  <c r="D70" i="4"/>
  <c r="E70" i="4"/>
  <c r="F70" i="4"/>
  <c r="A71" i="4"/>
  <c r="B71" i="4"/>
  <c r="C71" i="4"/>
  <c r="D71" i="4"/>
  <c r="E71" i="4"/>
  <c r="F71" i="4"/>
  <c r="A72" i="4"/>
  <c r="B72" i="4"/>
  <c r="C72" i="4"/>
  <c r="D72" i="4"/>
  <c r="E72" i="4"/>
  <c r="A73" i="4"/>
  <c r="B73" i="4"/>
  <c r="C73" i="4"/>
  <c r="D73" i="4"/>
  <c r="E73" i="4"/>
  <c r="A74" i="4"/>
  <c r="B74" i="4"/>
  <c r="C74" i="4"/>
  <c r="D74" i="4"/>
  <c r="E74" i="4"/>
  <c r="A75" i="4"/>
  <c r="B75" i="4"/>
  <c r="C75" i="4"/>
  <c r="D75" i="4"/>
  <c r="E75" i="4"/>
  <c r="A76" i="4"/>
  <c r="B76" i="4"/>
  <c r="C76" i="4"/>
  <c r="D76" i="4"/>
  <c r="E76" i="4"/>
  <c r="A77" i="4"/>
  <c r="B77" i="4"/>
  <c r="C77" i="4"/>
  <c r="D77" i="4"/>
  <c r="E77" i="4"/>
  <c r="A78" i="4"/>
  <c r="B78" i="4"/>
  <c r="C78" i="4"/>
  <c r="D78" i="4"/>
  <c r="E78" i="4"/>
  <c r="A79" i="4"/>
  <c r="B79" i="4"/>
  <c r="C79" i="4"/>
  <c r="D79" i="4"/>
  <c r="E79" i="4"/>
  <c r="F79" i="4"/>
  <c r="A81" i="4"/>
  <c r="B81" i="4"/>
  <c r="A44" i="5"/>
  <c r="A37" i="31" s="1"/>
  <c r="D81" i="4"/>
  <c r="A82" i="4"/>
  <c r="B82" i="4"/>
  <c r="C82" i="4"/>
  <c r="D82" i="4"/>
  <c r="E82" i="4"/>
  <c r="A83" i="4"/>
  <c r="B83" i="4"/>
  <c r="C83" i="4"/>
  <c r="D83" i="4"/>
  <c r="E83" i="4"/>
  <c r="A1" i="3"/>
  <c r="X10" i="19"/>
  <c r="X9" i="19"/>
  <c r="C33" i="8"/>
  <c r="D33" i="8" s="1"/>
  <c r="B99" i="4"/>
  <c r="B98" i="4"/>
  <c r="B94" i="4"/>
  <c r="B95" i="4"/>
  <c r="C95" i="4"/>
  <c r="C94" i="4"/>
  <c r="X30" i="31"/>
  <c r="X27" i="31"/>
  <c r="X24" i="31"/>
  <c r="X21" i="31"/>
  <c r="X18" i="31"/>
  <c r="X15" i="31"/>
  <c r="X48" i="31"/>
  <c r="X45" i="31"/>
  <c r="X42" i="31"/>
  <c r="B97" i="4"/>
  <c r="A53" i="5" s="1"/>
  <c r="A46" i="31" s="1"/>
  <c r="B22" i="3"/>
  <c r="B21" i="3"/>
  <c r="B20" i="3"/>
  <c r="B19" i="3"/>
  <c r="A22" i="3"/>
  <c r="A21" i="3"/>
  <c r="A20" i="3"/>
  <c r="A19" i="3"/>
  <c r="B18" i="3"/>
  <c r="A18" i="3"/>
  <c r="E22" i="62"/>
  <c r="H22" i="62"/>
  <c r="J21" i="62"/>
  <c r="J22" i="62" s="1"/>
  <c r="E21" i="62"/>
  <c r="H21" i="62" s="1"/>
  <c r="I20" i="62"/>
  <c r="E20" i="62"/>
  <c r="H20" i="62" s="1"/>
  <c r="E15" i="62"/>
  <c r="H15" i="62" s="1"/>
  <c r="J14" i="62"/>
  <c r="J15" i="62" s="1"/>
  <c r="E14" i="62"/>
  <c r="H14" i="62" s="1"/>
  <c r="E13" i="62"/>
  <c r="H13" i="62" s="1"/>
  <c r="S8" i="62"/>
  <c r="V8" i="62" s="1"/>
  <c r="Z8" i="62" s="1"/>
  <c r="E8" i="62"/>
  <c r="H8" i="62" s="1"/>
  <c r="S7" i="62"/>
  <c r="V7" i="62" s="1"/>
  <c r="Z7" i="62" s="1"/>
  <c r="J7" i="62"/>
  <c r="J8" i="62" s="1"/>
  <c r="E7" i="62"/>
  <c r="H7" i="62" s="1"/>
  <c r="S6" i="62"/>
  <c r="V6" i="62" s="1"/>
  <c r="Z6" i="62" s="1"/>
  <c r="E6" i="62"/>
  <c r="H6" i="62" s="1"/>
  <c r="R55" i="60"/>
  <c r="N55" i="60"/>
  <c r="O55" i="60"/>
  <c r="R54" i="60"/>
  <c r="N54" i="60"/>
  <c r="O54" i="60" s="1"/>
  <c r="R53" i="60"/>
  <c r="N53" i="60"/>
  <c r="O53" i="60" s="1"/>
  <c r="R47" i="60"/>
  <c r="N47" i="60"/>
  <c r="O47" i="60" s="1"/>
  <c r="H14" i="60"/>
  <c r="D14" i="60"/>
  <c r="I14" i="60"/>
  <c r="A29" i="5"/>
  <c r="A22" i="31" s="1"/>
  <c r="A32" i="5"/>
  <c r="A25" i="31" s="1"/>
  <c r="I17" i="3"/>
  <c r="F99" i="4"/>
  <c r="E99" i="4"/>
  <c r="D99" i="4"/>
  <c r="C99" i="4"/>
  <c r="A99" i="4"/>
  <c r="E98" i="4"/>
  <c r="D98" i="4"/>
  <c r="C98" i="4"/>
  <c r="A98" i="4"/>
  <c r="D97" i="4"/>
  <c r="B53" i="5" s="1"/>
  <c r="B46" i="31" s="1"/>
  <c r="A97" i="4"/>
  <c r="B16" i="3"/>
  <c r="A16" i="3"/>
  <c r="E87" i="4"/>
  <c r="D87" i="4"/>
  <c r="C87" i="4"/>
  <c r="B87" i="4"/>
  <c r="A87" i="4"/>
  <c r="F95" i="4"/>
  <c r="E95" i="4"/>
  <c r="D95" i="4"/>
  <c r="A95" i="4"/>
  <c r="F94" i="4"/>
  <c r="E94" i="4"/>
  <c r="D94" i="4"/>
  <c r="A94" i="4"/>
  <c r="F93" i="4"/>
  <c r="E93" i="4"/>
  <c r="D93" i="4"/>
  <c r="C93" i="4"/>
  <c r="B93" i="4"/>
  <c r="A93" i="4"/>
  <c r="F92" i="4"/>
  <c r="E92" i="4"/>
  <c r="D92" i="4"/>
  <c r="C92" i="4"/>
  <c r="B92" i="4"/>
  <c r="A92" i="4"/>
  <c r="V10" i="19"/>
  <c r="W11" i="19"/>
  <c r="F63" i="2" s="1"/>
  <c r="F63" i="4" s="1"/>
  <c r="D32" i="8"/>
  <c r="C16" i="28"/>
  <c r="C21" i="28" s="1"/>
  <c r="F57" i="2" s="1"/>
  <c r="F57" i="4" s="1"/>
  <c r="C14" i="28"/>
  <c r="C10" i="28"/>
  <c r="C11" i="28" s="1"/>
  <c r="C9" i="28"/>
  <c r="E7" i="28"/>
  <c r="F10" i="28" s="1"/>
  <c r="C18" i="28" s="1"/>
  <c r="E6" i="28"/>
  <c r="F9" i="28" s="1"/>
  <c r="E15" i="29"/>
  <c r="F64" i="2"/>
  <c r="F64" i="4" s="1"/>
  <c r="E13" i="29"/>
  <c r="E12" i="29"/>
  <c r="E11" i="29"/>
  <c r="E10" i="29"/>
  <c r="E9" i="29"/>
  <c r="E8" i="29"/>
  <c r="E7" i="29"/>
  <c r="E6" i="29"/>
  <c r="Q10" i="19"/>
  <c r="Q9" i="19"/>
  <c r="R10" i="19"/>
  <c r="R9" i="19"/>
  <c r="A8" i="3"/>
  <c r="B8" i="3"/>
  <c r="O11" i="19"/>
  <c r="F31" i="2" s="1"/>
  <c r="F31" i="4" s="1"/>
  <c r="M10" i="19"/>
  <c r="T9" i="19"/>
  <c r="S9" i="19"/>
  <c r="U9" i="19" s="1"/>
  <c r="P9" i="19"/>
  <c r="M9" i="19"/>
  <c r="E91" i="4"/>
  <c r="D91" i="4"/>
  <c r="C91" i="4"/>
  <c r="B91" i="4"/>
  <c r="A91" i="4"/>
  <c r="E90" i="4"/>
  <c r="D90" i="4"/>
  <c r="C90" i="4"/>
  <c r="B90" i="4"/>
  <c r="A90" i="4"/>
  <c r="H12" i="8"/>
  <c r="I12" i="8" s="1"/>
  <c r="H11" i="8"/>
  <c r="I11" i="8"/>
  <c r="H10" i="8"/>
  <c r="I10" i="8"/>
  <c r="F90" i="2"/>
  <c r="F91" i="2" s="1"/>
  <c r="F91" i="4" s="1"/>
  <c r="C39" i="8"/>
  <c r="C38" i="8"/>
  <c r="C37" i="8"/>
  <c r="D36" i="8"/>
  <c r="D35" i="8"/>
  <c r="D30" i="8"/>
  <c r="D28" i="8"/>
  <c r="J12" i="8"/>
  <c r="I29" i="3"/>
  <c r="B14" i="5"/>
  <c r="B20" i="5"/>
  <c r="A23" i="5"/>
  <c r="B26" i="5"/>
  <c r="B38" i="5"/>
  <c r="B41" i="5"/>
  <c r="B44" i="5"/>
  <c r="B47" i="5"/>
  <c r="A62" i="5"/>
  <c r="A63" i="5"/>
  <c r="A64" i="5"/>
  <c r="A1" i="4"/>
  <c r="D2" i="4"/>
  <c r="J2" i="4"/>
  <c r="D3" i="4"/>
  <c r="J3" i="4"/>
  <c r="A6" i="4"/>
  <c r="B6" i="4"/>
  <c r="C6" i="4"/>
  <c r="D6" i="4"/>
  <c r="A14" i="5"/>
  <c r="A7" i="31" s="1"/>
  <c r="A17" i="5"/>
  <c r="A10" i="31" s="1"/>
  <c r="A20" i="5"/>
  <c r="A13" i="31" s="1"/>
  <c r="B23" i="5"/>
  <c r="A41" i="5"/>
  <c r="A34" i="31" s="1"/>
  <c r="A85" i="4"/>
  <c r="B85" i="4"/>
  <c r="A47" i="5" s="1"/>
  <c r="A40" i="31" s="1"/>
  <c r="D85" i="4"/>
  <c r="A86" i="4"/>
  <c r="B86" i="4"/>
  <c r="C86" i="4"/>
  <c r="D86" i="4"/>
  <c r="E86" i="4"/>
  <c r="A89" i="4"/>
  <c r="B89" i="4"/>
  <c r="A50" i="5"/>
  <c r="A43" i="31" s="1"/>
  <c r="D89" i="4"/>
  <c r="B50" i="5" s="1"/>
  <c r="B43" i="31" s="1"/>
  <c r="A2" i="3"/>
  <c r="A3" i="3"/>
  <c r="A4" i="3"/>
  <c r="B4" i="3"/>
  <c r="A11" i="3"/>
  <c r="B11" i="3"/>
  <c r="A17" i="3"/>
  <c r="B17" i="3"/>
  <c r="A25" i="3"/>
  <c r="B25" i="3"/>
  <c r="A29" i="3"/>
  <c r="B29" i="3"/>
  <c r="A4" i="31"/>
  <c r="B7" i="31"/>
  <c r="X9" i="31"/>
  <c r="B10" i="31"/>
  <c r="X12" i="31"/>
  <c r="B13" i="31"/>
  <c r="A16" i="31"/>
  <c r="B16" i="31"/>
  <c r="B19" i="31"/>
  <c r="B28" i="31"/>
  <c r="B31" i="31"/>
  <c r="X33" i="31"/>
  <c r="B34" i="31"/>
  <c r="X36" i="31"/>
  <c r="B37" i="31"/>
  <c r="X39" i="31"/>
  <c r="B40" i="31"/>
  <c r="X49" i="31"/>
  <c r="Y52" i="31"/>
  <c r="A2" i="19"/>
  <c r="A3" i="19"/>
  <c r="H8" i="19"/>
  <c r="Q8" i="19" s="1"/>
  <c r="Q11" i="19" s="1"/>
  <c r="H11" i="19"/>
  <c r="I4" i="4" s="1"/>
  <c r="D59" i="5" s="1"/>
  <c r="X8" i="19"/>
  <c r="X11" i="19" s="1"/>
  <c r="F65" i="2" s="1"/>
  <c r="F65" i="4" s="1"/>
  <c r="N11" i="19"/>
  <c r="P10" i="19"/>
  <c r="S10" i="19"/>
  <c r="U10" i="19" s="1"/>
  <c r="T10" i="19"/>
  <c r="A2" i="8"/>
  <c r="A3" i="8"/>
  <c r="H9" i="8"/>
  <c r="I9" i="8"/>
  <c r="J9" i="8"/>
  <c r="J10" i="8"/>
  <c r="J11" i="8"/>
  <c r="J27" i="8" s="1"/>
  <c r="D45" i="8" s="1"/>
  <c r="C18" i="8"/>
  <c r="I18" i="8"/>
  <c r="I21" i="8"/>
  <c r="D37" i="8" s="1"/>
  <c r="J21" i="8"/>
  <c r="I22" i="8"/>
  <c r="D38" i="8" s="1"/>
  <c r="J22" i="8"/>
  <c r="I23" i="8"/>
  <c r="D39" i="8"/>
  <c r="J23" i="8"/>
  <c r="A2" i="22"/>
  <c r="A3" i="22"/>
  <c r="E10" i="22"/>
  <c r="E16" i="22"/>
  <c r="E25" i="22" s="1"/>
  <c r="D4" i="4" s="1"/>
  <c r="E19" i="22"/>
  <c r="A2" i="33"/>
  <c r="A3" i="33"/>
  <c r="E10" i="33"/>
  <c r="E16" i="33"/>
  <c r="E25" i="33" s="1"/>
  <c r="D5" i="4" s="1"/>
  <c r="H83" i="4" s="1"/>
  <c r="E19" i="33"/>
  <c r="D34" i="8"/>
  <c r="O14" i="19"/>
  <c r="F59" i="2"/>
  <c r="F59" i="4" s="1"/>
  <c r="M8" i="19"/>
  <c r="T8" i="19"/>
  <c r="T11" i="19" s="1"/>
  <c r="F41" i="2"/>
  <c r="F41" i="4" s="1"/>
  <c r="J18" i="8"/>
  <c r="R8" i="19"/>
  <c r="R11" i="19"/>
  <c r="F38" i="2" s="1"/>
  <c r="C31" i="8"/>
  <c r="F82" i="2" s="1"/>
  <c r="P8" i="19"/>
  <c r="S8" i="19"/>
  <c r="U8" i="19" s="1"/>
  <c r="U11" i="19" s="1"/>
  <c r="V8" i="19"/>
  <c r="F83" i="2"/>
  <c r="F83" i="4" s="1"/>
  <c r="F87" i="2"/>
  <c r="F87" i="4" s="1"/>
  <c r="I25" i="60"/>
  <c r="I59" i="60" l="1"/>
  <c r="I13" i="62" s="1"/>
  <c r="L13" i="62" s="1"/>
  <c r="I21" i="62"/>
  <c r="I22" i="62" s="1"/>
  <c r="L22" i="62" s="1"/>
  <c r="L20" i="62"/>
  <c r="H63" i="4"/>
  <c r="I63" i="4" s="1"/>
  <c r="H78" i="4"/>
  <c r="H90" i="4"/>
  <c r="H30" i="4"/>
  <c r="H57" i="4"/>
  <c r="I57" i="4" s="1"/>
  <c r="H18" i="4"/>
  <c r="H24" i="4"/>
  <c r="H31" i="4"/>
  <c r="I31" i="4" s="1"/>
  <c r="F11" i="28"/>
  <c r="C17" i="28"/>
  <c r="C19" i="28"/>
  <c r="F56" i="2" s="1"/>
  <c r="F56" i="4" s="1"/>
  <c r="H51" i="4"/>
  <c r="L7" i="62"/>
  <c r="V11" i="19"/>
  <c r="I26" i="8"/>
  <c r="D42" i="8" s="1"/>
  <c r="F73" i="2" s="1"/>
  <c r="F73" i="4" s="1"/>
  <c r="S54" i="60"/>
  <c r="H50" i="4"/>
  <c r="I14" i="62"/>
  <c r="I15" i="62" s="1"/>
  <c r="L15" i="62" s="1"/>
  <c r="S47" i="60"/>
  <c r="S60" i="60" s="1"/>
  <c r="S11" i="19"/>
  <c r="M11" i="19"/>
  <c r="F23" i="2" s="1"/>
  <c r="F23" i="4" s="1"/>
  <c r="E14" i="29"/>
  <c r="F58" i="2" s="1"/>
  <c r="F58" i="4" s="1"/>
  <c r="H52" i="4"/>
  <c r="I8" i="62"/>
  <c r="L8" i="62" s="1"/>
  <c r="P11" i="19"/>
  <c r="S53" i="60"/>
  <c r="L21" i="62"/>
  <c r="I83" i="4"/>
  <c r="I7" i="62"/>
  <c r="F90" i="4"/>
  <c r="S55" i="60"/>
  <c r="F37" i="2"/>
  <c r="F18" i="2"/>
  <c r="F18" i="4" s="1"/>
  <c r="Q16" i="19"/>
  <c r="Q18" i="19" s="1"/>
  <c r="F39" i="2" s="1"/>
  <c r="F39" i="4" s="1"/>
  <c r="F72" i="2"/>
  <c r="F72" i="4" s="1"/>
  <c r="H70" i="4"/>
  <c r="I70" i="4" s="1"/>
  <c r="H14" i="4"/>
  <c r="I14" i="4" s="1"/>
  <c r="J14" i="4" s="1"/>
  <c r="F82" i="4"/>
  <c r="F86" i="2"/>
  <c r="F86" i="4" s="1"/>
  <c r="N15" i="19"/>
  <c r="F26" i="2"/>
  <c r="F26" i="4" s="1"/>
  <c r="F27" i="2"/>
  <c r="F20" i="4"/>
  <c r="F62" i="2"/>
  <c r="H26" i="4"/>
  <c r="H38" i="4"/>
  <c r="H74" i="4"/>
  <c r="H27" i="4"/>
  <c r="D17" i="3"/>
  <c r="H17" i="3" s="1"/>
  <c r="J17" i="3" s="1"/>
  <c r="F38" i="4"/>
  <c r="H86" i="4"/>
  <c r="F3" i="2"/>
  <c r="F46" i="2"/>
  <c r="G4" i="4"/>
  <c r="F47" i="2"/>
  <c r="F42" i="2"/>
  <c r="H62" i="4"/>
  <c r="H39" i="4"/>
  <c r="H35" i="4"/>
  <c r="H79" i="4"/>
  <c r="I79" i="4" s="1"/>
  <c r="H75" i="4"/>
  <c r="H71" i="4"/>
  <c r="I71" i="4" s="1"/>
  <c r="H58" i="4"/>
  <c r="H9" i="4"/>
  <c r="I9" i="4" s="1"/>
  <c r="H95" i="4"/>
  <c r="I95" i="4" s="1"/>
  <c r="H94" i="4"/>
  <c r="I94" i="4" s="1"/>
  <c r="H87" i="4"/>
  <c r="I87" i="4" s="1"/>
  <c r="H34" i="4"/>
  <c r="H29" i="4"/>
  <c r="H25" i="4"/>
  <c r="H8" i="4"/>
  <c r="I8" i="4" s="1"/>
  <c r="H42" i="4"/>
  <c r="H28" i="4"/>
  <c r="H23" i="4"/>
  <c r="H20" i="4"/>
  <c r="H98" i="4"/>
  <c r="H91" i="4"/>
  <c r="I91" i="4" s="1"/>
  <c r="H66" i="4"/>
  <c r="H17" i="4"/>
  <c r="H41" i="4"/>
  <c r="I41" i="4" s="1"/>
  <c r="H37" i="4"/>
  <c r="H77" i="4"/>
  <c r="H73" i="4"/>
  <c r="I73" i="4" s="1"/>
  <c r="H69" i="4"/>
  <c r="I69" i="4" s="1"/>
  <c r="H56" i="4"/>
  <c r="I56" i="4" s="1"/>
  <c r="H19" i="4"/>
  <c r="H92" i="4"/>
  <c r="I92" i="4" s="1"/>
  <c r="H65" i="4"/>
  <c r="I65" i="4" s="1"/>
  <c r="H53" i="4"/>
  <c r="H64" i="4"/>
  <c r="I64" i="4" s="1"/>
  <c r="H40" i="4"/>
  <c r="H36" i="4"/>
  <c r="H76" i="4"/>
  <c r="H72" i="4"/>
  <c r="H59" i="4"/>
  <c r="I59" i="4" s="1"/>
  <c r="H11" i="4"/>
  <c r="I11" i="4" s="1"/>
  <c r="H93" i="4"/>
  <c r="I93" i="4" s="1"/>
  <c r="H99" i="4"/>
  <c r="I99" i="4" s="1"/>
  <c r="D31" i="8"/>
  <c r="D44" i="8" s="1"/>
  <c r="H10" i="4"/>
  <c r="I10" i="4" s="1"/>
  <c r="H82" i="4"/>
  <c r="D46" i="8"/>
  <c r="F74" i="2" s="1"/>
  <c r="F74" i="4" s="1"/>
  <c r="F19" i="2"/>
  <c r="F19" i="4" s="1"/>
  <c r="I6" i="62"/>
  <c r="L6" i="62" s="1"/>
  <c r="F28" i="2"/>
  <c r="I74" i="4" l="1"/>
  <c r="I86" i="4"/>
  <c r="J87" i="4" s="1"/>
  <c r="D47" i="5" s="1"/>
  <c r="E40" i="31" s="1"/>
  <c r="I18" i="4"/>
  <c r="F36" i="2"/>
  <c r="F36" i="4" s="1"/>
  <c r="F17" i="2"/>
  <c r="F17" i="4" s="1"/>
  <c r="I90" i="4"/>
  <c r="J95" i="4" s="1"/>
  <c r="D50" i="5" s="1"/>
  <c r="E43" i="31" s="1"/>
  <c r="I36" i="4"/>
  <c r="I23" i="4"/>
  <c r="I82" i="4"/>
  <c r="J83" i="4" s="1"/>
  <c r="D44" i="5" s="1"/>
  <c r="E37" i="31" s="1"/>
  <c r="O37" i="31" s="1"/>
  <c r="I19" i="4"/>
  <c r="I58" i="4"/>
  <c r="J59" i="4" s="1"/>
  <c r="L14" i="62"/>
  <c r="I39" i="4"/>
  <c r="F40" i="2"/>
  <c r="F40" i="4" s="1"/>
  <c r="I40" i="4" s="1"/>
  <c r="F45" i="2"/>
  <c r="F46" i="4"/>
  <c r="I46" i="4" s="1"/>
  <c r="F52" i="2"/>
  <c r="F52" i="4" s="1"/>
  <c r="I52" i="4" s="1"/>
  <c r="D21" i="3"/>
  <c r="H21" i="3" s="1"/>
  <c r="J21" i="3" s="1"/>
  <c r="F42" i="4"/>
  <c r="I42" i="4" s="1"/>
  <c r="D18" i="3"/>
  <c r="H18" i="3" s="1"/>
  <c r="J18" i="3" s="1"/>
  <c r="D20" i="3"/>
  <c r="H20" i="3" s="1"/>
  <c r="J20" i="3" s="1"/>
  <c r="D19" i="3"/>
  <c r="H19" i="3" s="1"/>
  <c r="J19" i="3" s="1"/>
  <c r="D22" i="3"/>
  <c r="H22" i="3" s="1"/>
  <c r="J22" i="3" s="1"/>
  <c r="D17" i="5"/>
  <c r="E10" i="31" s="1"/>
  <c r="I20" i="4"/>
  <c r="I17" i="4"/>
  <c r="J11" i="4"/>
  <c r="F47" i="4"/>
  <c r="I47" i="4" s="1"/>
  <c r="F50" i="2"/>
  <c r="F50" i="4" s="1"/>
  <c r="I50" i="4" s="1"/>
  <c r="F62" i="4"/>
  <c r="I62" i="4" s="1"/>
  <c r="F66" i="2"/>
  <c r="F66" i="4" s="1"/>
  <c r="I66" i="4" s="1"/>
  <c r="F34" i="2"/>
  <c r="F37" i="4"/>
  <c r="I37" i="4" s="1"/>
  <c r="D16" i="3"/>
  <c r="H16" i="3" s="1"/>
  <c r="J16" i="3" s="1"/>
  <c r="I27" i="4"/>
  <c r="F75" i="2"/>
  <c r="F75" i="4" s="1"/>
  <c r="I75" i="4" s="1"/>
  <c r="D43" i="8"/>
  <c r="F76" i="2" s="1"/>
  <c r="I38" i="4"/>
  <c r="I26" i="4"/>
  <c r="I72" i="4"/>
  <c r="F24" i="2"/>
  <c r="F28" i="4"/>
  <c r="I28" i="4" s="1"/>
  <c r="F29" i="2"/>
  <c r="F29" i="4" s="1"/>
  <c r="I29" i="4" s="1"/>
  <c r="D8" i="3"/>
  <c r="H8" i="3" s="1"/>
  <c r="J8" i="3" s="1"/>
  <c r="J9" i="3" s="1"/>
  <c r="F30" i="2" s="1"/>
  <c r="F30" i="4" s="1"/>
  <c r="I30" i="4" s="1"/>
  <c r="J20" i="4" l="1"/>
  <c r="D20" i="5" s="1"/>
  <c r="E28" i="31"/>
  <c r="U28" i="31" s="1"/>
  <c r="D35" i="5"/>
  <c r="F51" i="2"/>
  <c r="F51" i="4" s="1"/>
  <c r="I51" i="4" s="1"/>
  <c r="F45" i="4"/>
  <c r="I45" i="4" s="1"/>
  <c r="J47" i="4" s="1"/>
  <c r="D29" i="5" s="1"/>
  <c r="E22" i="31" s="1"/>
  <c r="L37" i="31"/>
  <c r="I37" i="31"/>
  <c r="F37" i="31"/>
  <c r="J66" i="4"/>
  <c r="D38" i="5" s="1"/>
  <c r="E31" i="31" s="1"/>
  <c r="I31" i="31" s="1"/>
  <c r="R37" i="31"/>
  <c r="U37" i="31"/>
  <c r="J23" i="3"/>
  <c r="F53" i="2" s="1"/>
  <c r="F53" i="4" s="1"/>
  <c r="I53" i="4" s="1"/>
  <c r="J53" i="4" s="1"/>
  <c r="D32" i="5" s="1"/>
  <c r="E25" i="31" s="1"/>
  <c r="L40" i="31"/>
  <c r="I40" i="31"/>
  <c r="U40" i="31"/>
  <c r="O40" i="31"/>
  <c r="R40" i="31"/>
  <c r="F40" i="31"/>
  <c r="F78" i="2"/>
  <c r="F78" i="4" s="1"/>
  <c r="I78" i="4" s="1"/>
  <c r="D29" i="3"/>
  <c r="H29" i="3" s="1"/>
  <c r="J29" i="3" s="1"/>
  <c r="J30" i="3" s="1"/>
  <c r="F77" i="2" s="1"/>
  <c r="F77" i="4" s="1"/>
  <c r="I77" i="4" s="1"/>
  <c r="I76" i="4"/>
  <c r="U10" i="31"/>
  <c r="O10" i="31"/>
  <c r="I10" i="31"/>
  <c r="L10" i="31"/>
  <c r="F10" i="31"/>
  <c r="R10" i="31"/>
  <c r="L43" i="31"/>
  <c r="U43" i="31"/>
  <c r="F43" i="31"/>
  <c r="O43" i="31"/>
  <c r="R43" i="31"/>
  <c r="I43" i="31"/>
  <c r="F34" i="4"/>
  <c r="I34" i="4" s="1"/>
  <c r="F35" i="2"/>
  <c r="F35" i="4" s="1"/>
  <c r="I35" i="4" s="1"/>
  <c r="F25" i="2"/>
  <c r="F98" i="2"/>
  <c r="F98" i="4" s="1"/>
  <c r="I98" i="4" s="1"/>
  <c r="J99" i="4" s="1"/>
  <c r="D53" i="5" s="1"/>
  <c r="E46" i="31" s="1"/>
  <c r="F24" i="4"/>
  <c r="D14" i="5"/>
  <c r="J79" i="4" l="1"/>
  <c r="D41" i="5" s="1"/>
  <c r="L31" i="31"/>
  <c r="U31" i="31"/>
  <c r="J102" i="4"/>
  <c r="X37" i="31"/>
  <c r="Y37" i="31" s="1"/>
  <c r="R31" i="31"/>
  <c r="F31" i="31"/>
  <c r="O31" i="31"/>
  <c r="L28" i="31"/>
  <c r="R28" i="31"/>
  <c r="O28" i="31"/>
  <c r="E13" i="31"/>
  <c r="O13" i="31" s="1"/>
  <c r="F25" i="4"/>
  <c r="I25" i="4" s="1"/>
  <c r="F101" i="2"/>
  <c r="L25" i="31"/>
  <c r="R25" i="31"/>
  <c r="O25" i="31"/>
  <c r="U25" i="31"/>
  <c r="F25" i="31"/>
  <c r="I25" i="31"/>
  <c r="X10" i="31"/>
  <c r="Y10" i="31" s="1"/>
  <c r="J42" i="4"/>
  <c r="D26" i="5" s="1"/>
  <c r="E19" i="31" s="1"/>
  <c r="E7" i="31"/>
  <c r="I24" i="4"/>
  <c r="F102" i="4"/>
  <c r="X40" i="31"/>
  <c r="Y40" i="31" s="1"/>
  <c r="O46" i="31"/>
  <c r="L46" i="31"/>
  <c r="U46" i="31"/>
  <c r="I46" i="31"/>
  <c r="R46" i="31"/>
  <c r="F46" i="31"/>
  <c r="U22" i="31"/>
  <c r="F22" i="31"/>
  <c r="R22" i="31"/>
  <c r="O22" i="31"/>
  <c r="L22" i="31"/>
  <c r="I22" i="31"/>
  <c r="X43" i="31"/>
  <c r="Y43" i="31" s="1"/>
  <c r="X31" i="31" l="1"/>
  <c r="Y31" i="31" s="1"/>
  <c r="E34" i="31"/>
  <c r="F34" i="31" s="1"/>
  <c r="X28" i="31"/>
  <c r="Y28" i="31" s="1"/>
  <c r="I13" i="31"/>
  <c r="R13" i="31"/>
  <c r="L13" i="31"/>
  <c r="U13" i="31"/>
  <c r="F13" i="31"/>
  <c r="X25" i="31"/>
  <c r="Y25" i="31" s="1"/>
  <c r="X46" i="31"/>
  <c r="Y46" i="31" s="1"/>
  <c r="J31" i="4"/>
  <c r="I102" i="4"/>
  <c r="F7" i="31"/>
  <c r="L7" i="31"/>
  <c r="I7" i="31"/>
  <c r="U7" i="31"/>
  <c r="O7" i="31"/>
  <c r="R7" i="31"/>
  <c r="L19" i="31"/>
  <c r="O19" i="31"/>
  <c r="F19" i="31"/>
  <c r="U19" i="31"/>
  <c r="I19" i="31"/>
  <c r="R19" i="31"/>
  <c r="X22" i="31"/>
  <c r="Y22" i="31" s="1"/>
  <c r="O34" i="31" l="1"/>
  <c r="X13" i="31"/>
  <c r="Y13" i="31" s="1"/>
  <c r="I34" i="31"/>
  <c r="L34" i="31"/>
  <c r="R34" i="31"/>
  <c r="U34" i="31"/>
  <c r="X19" i="31"/>
  <c r="Y19" i="31" s="1"/>
  <c r="X7" i="31"/>
  <c r="D23" i="5"/>
  <c r="J100" i="4"/>
  <c r="X34" i="31" l="1"/>
  <c r="Y34" i="31" s="1"/>
  <c r="Y7" i="31"/>
  <c r="E16" i="31"/>
  <c r="D56" i="5"/>
  <c r="J104" i="4"/>
  <c r="K14" i="4"/>
  <c r="C6" i="5" l="1"/>
  <c r="D60" i="5"/>
  <c r="F16" i="31"/>
  <c r="U16" i="31"/>
  <c r="U51" i="31" s="1"/>
  <c r="R16" i="31"/>
  <c r="R51" i="31" s="1"/>
  <c r="I16" i="31"/>
  <c r="I51" i="31" s="1"/>
  <c r="L16" i="31"/>
  <c r="L51" i="31" s="1"/>
  <c r="O16" i="31"/>
  <c r="O51" i="31" s="1"/>
  <c r="E54" i="31"/>
  <c r="E50" i="31"/>
  <c r="O50" i="31" l="1"/>
  <c r="R50" i="31"/>
  <c r="I50" i="31"/>
  <c r="L50" i="31"/>
  <c r="U50" i="31"/>
  <c r="D37" i="31"/>
  <c r="D31" i="31"/>
  <c r="D10" i="31"/>
  <c r="D43" i="31"/>
  <c r="D40" i="31"/>
  <c r="D29" i="31"/>
  <c r="D46" i="31"/>
  <c r="D22" i="31"/>
  <c r="D25" i="31"/>
  <c r="D13" i="31"/>
  <c r="D7" i="31"/>
  <c r="D34" i="31"/>
  <c r="D19" i="31"/>
  <c r="X16" i="31"/>
  <c r="F51" i="31"/>
  <c r="E56" i="31"/>
  <c r="D16" i="31"/>
  <c r="C8" i="5"/>
  <c r="C7" i="5" s="1"/>
  <c r="F50" i="31" l="1"/>
  <c r="X50" i="31" s="1"/>
  <c r="X51" i="31"/>
  <c r="F52" i="31"/>
  <c r="I52" i="31" s="1"/>
  <c r="L52" i="31" s="1"/>
  <c r="O52" i="31" s="1"/>
  <c r="R52" i="31" s="1"/>
  <c r="U52" i="31" s="1"/>
  <c r="D50" i="31"/>
  <c r="Y16" i="31"/>
  <c r="Y50" i="31"/>
</calcChain>
</file>

<file path=xl/sharedStrings.xml><?xml version="1.0" encoding="utf-8"?>
<sst xmlns="http://schemas.openxmlformats.org/spreadsheetml/2006/main" count="1003" uniqueCount="523">
  <si>
    <t>DISCRIMINAÇÃO</t>
  </si>
  <si>
    <t>UNIDADE</t>
  </si>
  <si>
    <t>QUANTIDADE</t>
  </si>
  <si>
    <t>TERRAPLENAGEM</t>
  </si>
  <si>
    <t>m³</t>
  </si>
  <si>
    <t>m²</t>
  </si>
  <si>
    <t>DRENAGEM</t>
  </si>
  <si>
    <t>m</t>
  </si>
  <si>
    <t>unid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</si>
  <si>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</si>
  <si>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</si>
  <si>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</si>
  <si>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</si>
  <si>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</si>
  <si>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</si>
  <si>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</si>
  <si>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</si>
  <si>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</si>
  <si>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</si>
  <si>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PESO(T) A TRANSPORTAR</t>
  </si>
  <si>
    <t>DMT(KM)</t>
  </si>
  <si>
    <t>MOMENTO DE TRANSPORTE(t.km)</t>
  </si>
  <si>
    <t>Solo</t>
  </si>
  <si>
    <t>t/m³</t>
  </si>
  <si>
    <t>II</t>
  </si>
  <si>
    <t>III</t>
  </si>
  <si>
    <t>VALOR (R$)</t>
  </si>
  <si>
    <t>VI</t>
  </si>
  <si>
    <t>TOTAL  GERAL</t>
  </si>
  <si>
    <t>ITEM</t>
  </si>
  <si>
    <t>2.0</t>
  </si>
  <si>
    <t>3.0</t>
  </si>
  <si>
    <t>3.2</t>
  </si>
  <si>
    <t>4.0</t>
  </si>
  <si>
    <t>4.1</t>
  </si>
  <si>
    <t>ÁREA (m²)</t>
  </si>
  <si>
    <t>3.1</t>
  </si>
  <si>
    <t>2.1</t>
  </si>
  <si>
    <t>1.0</t>
  </si>
  <si>
    <t>1.1</t>
  </si>
  <si>
    <t>1.2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</si>
  <si>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</si>
  <si>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</si>
  <si>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</si>
  <si>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</si>
  <si>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</si>
  <si>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LOGRADOURO</t>
  </si>
  <si>
    <t>ESTACAS</t>
  </si>
  <si>
    <t>EXTENSÃO (m)</t>
  </si>
  <si>
    <t>INICIAL</t>
  </si>
  <si>
    <t>FINAL</t>
  </si>
  <si>
    <t>CORTE (m³)</t>
  </si>
  <si>
    <t>ATERRO (m³)</t>
  </si>
  <si>
    <t>+</t>
  </si>
  <si>
    <t xml:space="preserve"> RESUMO  DOS  PREÇOS</t>
  </si>
  <si>
    <t xml:space="preserve">SERVIÇOS                    </t>
  </si>
  <si>
    <t xml:space="preserve">BATA BASE:  </t>
  </si>
  <si>
    <t xml:space="preserve">ÁREA (m²): </t>
  </si>
  <si>
    <t>DATA BASE: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</si>
  <si>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</si>
  <si>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</si>
  <si>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</si>
  <si>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</si>
  <si>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</si>
  <si>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</si>
  <si>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</si>
  <si>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</si>
  <si>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</si>
  <si>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</si>
  <si>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</si>
  <si>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</si>
  <si>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</si>
  <si>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</si>
  <si>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</si>
  <si>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</si>
  <si>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</si>
  <si>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</si>
  <si>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</si>
  <si>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</si>
  <si>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>Isolamento de obra com tela plástica com malha de 5mm e estrutura de madeira pontaleteada</t>
  </si>
  <si>
    <t>Regularização e compactação de subleito até 20 cm de espessura</t>
  </si>
  <si>
    <t>6.0</t>
  </si>
  <si>
    <t>6.1</t>
  </si>
  <si>
    <t>6.2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</si>
  <si>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</si>
  <si>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</si>
  <si>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</si>
  <si>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</si>
  <si>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</si>
  <si>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</si>
  <si>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</si>
  <si>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</si>
  <si>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</si>
  <si>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</si>
  <si>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</si>
  <si>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</si>
  <si>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</si>
  <si>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</si>
  <si>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</si>
  <si>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</si>
  <si>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ENSAIOS TECNOLÓGICOS DE SOLO E ASFALTO</t>
  </si>
  <si>
    <t>74021/003</t>
  </si>
  <si>
    <t>Ensaio de regularição de sub-leito</t>
  </si>
  <si>
    <t>74021/006</t>
  </si>
  <si>
    <t>74209/001</t>
  </si>
  <si>
    <t>Placa de obra em chapa de aço galvanizado</t>
  </si>
  <si>
    <t>7.0</t>
  </si>
  <si>
    <t>7.1</t>
  </si>
  <si>
    <t>8.0</t>
  </si>
  <si>
    <t>ADMINISTRAÇÃO LOCAL</t>
  </si>
  <si>
    <t>Execução de depósito em canteiro de obra</t>
  </si>
  <si>
    <t>Confecção de placa em aço nº 16 galvanizado, com película retrorrefletiva tipo I + III</t>
  </si>
  <si>
    <t>CODIGO</t>
  </si>
  <si>
    <t>BANCO</t>
  </si>
  <si>
    <t>SINAPI</t>
  </si>
  <si>
    <t>SICRO 3</t>
  </si>
  <si>
    <t>SICRO 03</t>
  </si>
  <si>
    <t>74219/001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</si>
  <si>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</si>
  <si>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baixo nível de interferência. af_01/2015</t>
  </si>
  <si>
    <t>74010/001</t>
  </si>
  <si>
    <t>Carga e descarga mecânica de solo utilizando caminhão basculante 5m³ /11t e pa carregadeira sobre pneus * 105 hp * cap. 1,72m3</t>
  </si>
  <si>
    <t>Espalhamento de material em bota fora, com utilizacao de trator de esteiras de 165 HP</t>
  </si>
  <si>
    <t>ÓRGÃOS ACESSÓRIOS</t>
  </si>
  <si>
    <t>MEMÓRIA DE CÁLCULO DE VOLUMES DA DRENAGEM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</si>
  <si>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</si>
  <si>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</si>
  <si>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</si>
  <si>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</si>
  <si>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</si>
  <si>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</si>
  <si>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AREA FUNDO DE VALA</t>
  </si>
  <si>
    <t>MEDIA DE ESC</t>
  </si>
  <si>
    <t>MONTANTE</t>
  </si>
  <si>
    <t>JUZANTE</t>
  </si>
  <si>
    <t>DOS CORTES</t>
  </si>
  <si>
    <t>BOCAS DE LOBOS SIMPLES</t>
  </si>
  <si>
    <t>ESCAVAÇÃO</t>
  </si>
  <si>
    <t>ÁREA</t>
  </si>
  <si>
    <t>Poço de Visita</t>
  </si>
  <si>
    <t>TUBO 600MM</t>
  </si>
  <si>
    <t>TUBO 800MM</t>
  </si>
  <si>
    <t>TUBO 1000MM</t>
  </si>
  <si>
    <t>TUBO 1200MM</t>
  </si>
  <si>
    <t>BOCA DE LOBO DUPLA (UNIDADES)</t>
  </si>
  <si>
    <t>REGULARIZAÇÃO DE FUNDO DE VALA</t>
  </si>
  <si>
    <t>FORRO DE PEDRA DE MÃO</t>
  </si>
  <si>
    <t>BOTA-FORA ESCAVAÇÃO DE DRENO PROFUNDO</t>
  </si>
  <si>
    <t xml:space="preserve">DE CORTE </t>
  </si>
  <si>
    <t>ESCAVAÇÃO DE VALAS</t>
  </si>
  <si>
    <t>EXTENSÃO:</t>
  </si>
  <si>
    <t>A</t>
  </si>
  <si>
    <t>PREFEITURA MUNICIPAL DE VÁZEA GRANDE</t>
  </si>
  <si>
    <t>P. UNIT. C/BDI</t>
  </si>
  <si>
    <t>4.4</t>
  </si>
  <si>
    <t>BOCA DE LOBO TRIPLA (UNIDADES)</t>
  </si>
  <si>
    <t>LASTRO DE BRITA</t>
  </si>
  <si>
    <t>4.2</t>
  </si>
  <si>
    <t>4.5</t>
  </si>
  <si>
    <t>PLANILHA ORÇAMENTÁRIA (NÃO DESONERADO)</t>
  </si>
  <si>
    <t>NÃO DESONERADO</t>
  </si>
  <si>
    <t>VIII</t>
  </si>
  <si>
    <t>Reaterro mecanizado de vala com retroescavadeira (capacidade da caçamb a da retro: 0,26 m³ / potência: 88 hp), largura de 0,8 a 1,5 m, profun didade de 1,5 a 3,0 m, com solo (sem substituição) de 1ª categoria em locais com baixo nível de interferência. af_04/2016</t>
  </si>
  <si>
    <t>9.0</t>
  </si>
  <si>
    <t>IX</t>
  </si>
  <si>
    <t>9.1</t>
  </si>
  <si>
    <t>COMP. DO LANCE</t>
  </si>
  <si>
    <t>TUBULAÇÃO</t>
  </si>
  <si>
    <t>TUBO 600MM (23 RAMAL)</t>
  </si>
  <si>
    <t xml:space="preserve">TOTAL DE BOTA FORA </t>
  </si>
  <si>
    <t xml:space="preserve">REATERRO E COMPACTAÇÃO DE VALAS </t>
  </si>
  <si>
    <t>7.2</t>
  </si>
  <si>
    <t>BDI - BENEFICIOS E DESPESAS INDIRETAS - NÃO DESONERADO</t>
  </si>
  <si>
    <t>PAVIMENTAÇÃO DE VIAS URBANAS</t>
  </si>
  <si>
    <t>Ensaio de Sub-base estabilizada granulometricamente)</t>
  </si>
  <si>
    <t>Ensaio de base estabilizada granulometricamente</t>
  </si>
  <si>
    <t>74022/030</t>
  </si>
  <si>
    <t>un</t>
  </si>
  <si>
    <t>SINALIZAÇÃO HORIZONTAL/VERTICAL</t>
  </si>
  <si>
    <t>Sinalizacao horizontal com tinta retrorrefletiva a base de resina acrilica  c/ micro esfera de vidro</t>
  </si>
  <si>
    <t>Pintura de setas e zebrados - tinta base acrílica - espessura de 0,6 mm</t>
  </si>
  <si>
    <t>Fornecimento e implantação de suporte metálico galvanizado para placa de regulamentação - R1 - lado de 0,248 m</t>
  </si>
  <si>
    <t>OBRAS COMPLEMENTARES</t>
  </si>
  <si>
    <t>TERRAPLENAGEM E PAVIMENTAÇÃO</t>
  </si>
  <si>
    <t>SUBLEITO (m²)</t>
  </si>
  <si>
    <t>SUB-BASE (m³)</t>
  </si>
  <si>
    <t>BASE (m³)</t>
  </si>
  <si>
    <t>IMPRIM. (m²)</t>
  </si>
  <si>
    <t>MEIO-FIO C/ SARJETA  (m)</t>
  </si>
  <si>
    <t>LOCAL - Dist.</t>
  </si>
  <si>
    <t>SINAL DE PLACA</t>
  </si>
  <si>
    <t>OBSERVAÇÕES</t>
  </si>
  <si>
    <t>do bordo (Metros)</t>
  </si>
  <si>
    <t>TIPO</t>
  </si>
  <si>
    <t>DIMENSÕES</t>
  </si>
  <si>
    <t>ÁREAS(m²)</t>
  </si>
  <si>
    <t>Regulamentação</t>
  </si>
  <si>
    <t>Indicativa</t>
  </si>
  <si>
    <t>TOTAL (m²)</t>
  </si>
  <si>
    <t>TOTAL (un)</t>
  </si>
  <si>
    <t>massa</t>
  </si>
  <si>
    <t>BLD - Boca de lobo dupla, c/abertura pela guia 1,00m - conforme protjeto tipo</t>
  </si>
  <si>
    <t>Tubo concreto armado, classe PA-1, pb, dn 600 mm, para aguas pluviais (nbr 8890)</t>
  </si>
  <si>
    <t>10.0</t>
  </si>
  <si>
    <t>X</t>
  </si>
  <si>
    <t>10.1</t>
  </si>
  <si>
    <t>Caixa coletora de talvegue CCT01</t>
  </si>
  <si>
    <t>Escavação mecânica de vala em material de 2A. cat de 2,01 até 4,00 M de profundidade com utilização de escavadeira hidráulica</t>
  </si>
  <si>
    <t>Escoramento de vala, tipo pontaleteamento, com profundidade de 0 a 1,5 m, largura maior ou igual a 1,5 m e menor que 2,5 m, em local com nível alto de interferência. af_06/2016</t>
  </si>
  <si>
    <t>I</t>
  </si>
  <si>
    <t>SERVIÇOS PRELIMINARES</t>
  </si>
  <si>
    <t>7.3</t>
  </si>
  <si>
    <t>XI</t>
  </si>
  <si>
    <t>LARGURA   (m)</t>
  </si>
  <si>
    <t>ACOST. LE + (FOLGA)</t>
  </si>
  <si>
    <t>PISTA LD</t>
  </si>
  <si>
    <t>ACOST. LD + (FOLGA)</t>
  </si>
  <si>
    <t>PISTA LE</t>
  </si>
  <si>
    <t>LIMPEZA DE CAMADA VEGETAL (m²)</t>
  </si>
  <si>
    <t>PINTURA DE LIGAÇÃO. (m²)</t>
  </si>
  <si>
    <t>Reto</t>
  </si>
  <si>
    <t>Curvo</t>
  </si>
  <si>
    <t>11.0</t>
  </si>
  <si>
    <t>TUBO 1500MM</t>
  </si>
  <si>
    <t>VOLUME DE BERÇO DE CASCALHO REATERRO</t>
  </si>
  <si>
    <t>DIÂMETRO</t>
  </si>
  <si>
    <t xml:space="preserve">L  </t>
  </si>
  <si>
    <t>e</t>
  </si>
  <si>
    <t>a</t>
  </si>
  <si>
    <t>b</t>
  </si>
  <si>
    <t xml:space="preserve"> Volume</t>
  </si>
  <si>
    <t>DIÂMETRO EXT.</t>
  </si>
  <si>
    <t>Poço de visita - PVI 04 - areia e brita comerciais</t>
  </si>
  <si>
    <t>8.2</t>
  </si>
  <si>
    <t>8.4</t>
  </si>
  <si>
    <t>Chaminé dos poços de visita - CPV 01 - areia e brita comerciais</t>
  </si>
  <si>
    <t>8.1</t>
  </si>
  <si>
    <t>Ensaio de resistência a compressão simples do concreto - meio-fio, sarjetas e calçadas (considerado 1,0 amostra a cada 200 m)</t>
  </si>
  <si>
    <t>8.3</t>
  </si>
  <si>
    <t xml:space="preserve">ASSENTAMENTO DE TUBO DE CONCRETO </t>
  </si>
  <si>
    <t>FORNECIMENTO DE TUBOS TIPO PA-1</t>
  </si>
  <si>
    <t>SENTIDO</t>
  </si>
  <si>
    <t>COMPRIMENTO</t>
  </si>
  <si>
    <t>ESPESSURA</t>
  </si>
  <si>
    <t>Área</t>
  </si>
  <si>
    <t>TIPO DE PINTURA</t>
  </si>
  <si>
    <t>(m)</t>
  </si>
  <si>
    <t>(m²)</t>
  </si>
  <si>
    <t>Ambos (ida e volta)</t>
  </si>
  <si>
    <t>2X4</t>
  </si>
  <si>
    <t>Contínua</t>
  </si>
  <si>
    <t>FAIXA AMARELA</t>
  </si>
  <si>
    <t>Descontínua</t>
  </si>
  <si>
    <t xml:space="preserve">TOTAL </t>
  </si>
  <si>
    <t>EXTENSÃO TOTAL</t>
  </si>
  <si>
    <t>RESUMO DA SINALIZAÇÃO</t>
  </si>
  <si>
    <t>FAIXA BRANCA CONTÍNUA</t>
  </si>
  <si>
    <t>FAIXA BRANCA RETENÇÃO 0,40m</t>
  </si>
  <si>
    <t>FAIXA AMARELA 2X4</t>
  </si>
  <si>
    <t>FAIXA AMARELA CONTÍNUA</t>
  </si>
  <si>
    <t>TOTAL DE PINTURA DE FAIXAS</t>
  </si>
  <si>
    <t xml:space="preserve">SETAS  E ZEBRADOS </t>
  </si>
  <si>
    <t>TACHAS E TACHÕES</t>
  </si>
  <si>
    <t>FAIXA BRANCA SECCIONADA 2X4m</t>
  </si>
  <si>
    <t/>
  </si>
  <si>
    <t>5.0</t>
  </si>
  <si>
    <t>5.1</t>
  </si>
  <si>
    <t>5.2</t>
  </si>
  <si>
    <t>5.4</t>
  </si>
  <si>
    <t>5.5</t>
  </si>
  <si>
    <t>5.6</t>
  </si>
  <si>
    <t>5.7</t>
  </si>
  <si>
    <t>5.8</t>
  </si>
  <si>
    <t>m³/m³</t>
  </si>
  <si>
    <t>4.3</t>
  </si>
  <si>
    <t>BOCAS DE LOBOS DUPLAS</t>
  </si>
  <si>
    <t>BOCAS DE LOBOS TRIPLAS</t>
  </si>
  <si>
    <t>Guia (meio-fio) e sarjeta conjugados de concreto, moldada i n loco em trecho
reto com extrusora, guia 13 cm base x 22 cm altura. af_06/2016</t>
  </si>
  <si>
    <t>Guia (meio-fio) e sarjeta conjugados de concreto, moldada i n loco em trecho
curvo com extrusora, guia 13 cm base x 22 cm altura. af_06/2016</t>
  </si>
  <si>
    <t>73916/002</t>
  </si>
  <si>
    <t>Placa esmaltada para identificação NR de Rua, dimensões 45X25cm</t>
  </si>
  <si>
    <t>V</t>
  </si>
  <si>
    <t>Caixa de ligação de passagem</t>
  </si>
  <si>
    <t>TUBO LIGAÇÃO E PASSAGEM</t>
  </si>
  <si>
    <t>TUBO</t>
  </si>
  <si>
    <t>R-01</t>
  </si>
  <si>
    <t>I-01</t>
  </si>
  <si>
    <t>45X25 CM</t>
  </si>
  <si>
    <t>TOTAL/km (R$)</t>
  </si>
  <si>
    <t>km</t>
  </si>
  <si>
    <t>IV</t>
  </si>
  <si>
    <t>OBRA: PAVIMENTAÇÃO DE VIAS URBANAS</t>
  </si>
  <si>
    <t>6.3</t>
  </si>
  <si>
    <t>11.2</t>
  </si>
  <si>
    <t>4.6</t>
  </si>
  <si>
    <t>OBRA: Pavimentação</t>
  </si>
  <si>
    <t>4.7</t>
  </si>
  <si>
    <t>R-4a</t>
  </si>
  <si>
    <t>BAIRRO: ELDORADO</t>
  </si>
  <si>
    <t>RUA NOVA ESPERANÇA</t>
  </si>
  <si>
    <t>RUAS: NOVA ESPERAÇA</t>
  </si>
  <si>
    <t>BAIRRO: NOVA ESPERANÇA</t>
  </si>
  <si>
    <t>Execução e compactação de aterro com solo predominante arenoso exclusivo fornecimento e escavação e carga do material</t>
  </si>
  <si>
    <t>Limpeza Mecanizada de camada vegetal; vegetação pequena e pequenas arvores</t>
  </si>
  <si>
    <t>EMBOCADOURAS E RAIOS</t>
  </si>
  <si>
    <t>LIMPA RODAS</t>
  </si>
  <si>
    <t>NOTA  DE  SERVIÇO DE SINALIZAÇÃO VERTICAL DO BAIRRO NOVA ESPERANÇA</t>
  </si>
  <si>
    <t>RUA BOA ESPERANÇA</t>
  </si>
  <si>
    <t>Esquina com a Rua  Cachoeira do Sul estaca 0+0,00 (posicionar a 10 metros do bordo da pista transversal)</t>
  </si>
  <si>
    <t>Esquina com  Rua Canoas estaca 6+0,892 (posicionar a 10 metros do bordo da pista transversal)</t>
  </si>
  <si>
    <t>Esquina com Av. Mário Andreaza 18+11,380 (posicionar a 10 metros do bordo da pista transversal)</t>
  </si>
  <si>
    <t>R-24-a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</si>
  <si>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NOVA ESPERANÇA</t>
    </r>
  </si>
  <si>
    <t>Boca BSTC D = 0,80 m - esconsidade 0° - areia e brita comerciais - alas esconsas</t>
  </si>
  <si>
    <t>7.4</t>
  </si>
  <si>
    <t>Calçada</t>
  </si>
  <si>
    <t>Escavação, carga e transporte de material de 1ª categoria - DMT de 50 a 200 m - caminho de serviço em leito natural - com</t>
  </si>
  <si>
    <t>5.3</t>
  </si>
  <si>
    <t>11.1</t>
  </si>
  <si>
    <t>BLT - Boca de lobo tripla, c/abertura pela guia 1,00m - conforme protjeto tipo</t>
  </si>
  <si>
    <t>Assentamento de tubo de concreto para redes coletoras de águas pluviais, diâmetro de 600 mm, junta rígida, instalado em local com alto nível DE interferências (não inclui fornecimento). AF_12/2015</t>
  </si>
  <si>
    <t>Assentamento de tubo de concreto para redes coletoras de águas pluviais, diâmetro de 800 mm, junta rígida, instalado em local com alto nível</t>
  </si>
  <si>
    <t>10.2</t>
  </si>
  <si>
    <t>9.2</t>
  </si>
  <si>
    <t>Dissipador de energia - DEB 04 - areia e pedra de mão comerciais</t>
  </si>
  <si>
    <t>Tubo concreto armado, classe PA-1, pb, dn 800 mm, para aguas pluviais (nbr 8890)</t>
  </si>
  <si>
    <t xml:space="preserve"> PREFEITURA MUNICIPAL DE VARZEA GRANDE</t>
  </si>
  <si>
    <t>LOCAL: RUA NOVA ESPERANÇA</t>
  </si>
  <si>
    <t>IMPLANTAÇÃO DE PAV. ASFALTICO EM ( CBUQ)</t>
  </si>
  <si>
    <t>VALOR DO REPASE</t>
  </si>
  <si>
    <t>VALOR DA CONTRAPARTIDA</t>
  </si>
  <si>
    <t>73847/001</t>
  </si>
  <si>
    <t>COMP 1.1</t>
  </si>
  <si>
    <t>Composição</t>
  </si>
  <si>
    <t>COMP 1.3</t>
  </si>
  <si>
    <t>COMP 2.1</t>
  </si>
  <si>
    <t>Administração Local</t>
  </si>
  <si>
    <t>COMP. 4.1</t>
  </si>
  <si>
    <t>73822/002</t>
  </si>
  <si>
    <t>74205/001</t>
  </si>
  <si>
    <t>Concreto asfáltico - faixa C - areia e brita comerciais</t>
  </si>
  <si>
    <t>Fornecimento de asfalto diluído CM-30</t>
  </si>
  <si>
    <t>ANP</t>
  </si>
  <si>
    <t>COT 3</t>
  </si>
  <si>
    <t>COT 4</t>
  </si>
  <si>
    <t>t</t>
  </si>
  <si>
    <t>Imprimação com asfalto diluído</t>
  </si>
  <si>
    <t>CBUQ             (t)</t>
  </si>
  <si>
    <t>Fornecimento de emulsões asfáltica modificada por polímeros RR-2C</t>
  </si>
  <si>
    <t>5501700</t>
  </si>
  <si>
    <t>SICRO</t>
  </si>
  <si>
    <t>Desmatamento, destocamento, limpeza de área e estocagem do material de limpeza com árvores de diâmetro até 0,15 m jazida</t>
  </si>
  <si>
    <t>5502986</t>
  </si>
  <si>
    <t>Expurgo de jazida</t>
  </si>
  <si>
    <t>4.8</t>
  </si>
  <si>
    <t>4011227</t>
  </si>
  <si>
    <t>Sub-base de solo estabilizado granulometricamente sem mistura com material de jazida</t>
  </si>
  <si>
    <t>4011219</t>
  </si>
  <si>
    <t>Base de solo estabilizado granulometricamente sem mistura com material de jazida</t>
  </si>
  <si>
    <t>Pintura de ligação com emulsão RR-2C</t>
  </si>
  <si>
    <t>CALÇADA (m³)</t>
  </si>
  <si>
    <t>COT 5</t>
  </si>
  <si>
    <t>Fornecimento de Cimento Asfáltico CAP 50-70</t>
  </si>
  <si>
    <t>Transporte de asfalto diluído CM-30</t>
  </si>
  <si>
    <t>Transporte de emulsão asfáltica RR-2C</t>
  </si>
  <si>
    <t>Transporte de concreto asfáltico CAP 50-70</t>
  </si>
  <si>
    <t>DNIT</t>
  </si>
  <si>
    <t>COT 6</t>
  </si>
  <si>
    <t>Transporte com caminhão basculante de 10 m³ - rodovia pavimentada</t>
  </si>
  <si>
    <t>12.0</t>
  </si>
  <si>
    <t>XII</t>
  </si>
  <si>
    <t>CONTROLE E RECUPERAÇÃO AMBIENTAL</t>
  </si>
  <si>
    <t>12.2</t>
  </si>
  <si>
    <t>Hidrossemeadura</t>
  </si>
  <si>
    <t>4413989</t>
  </si>
  <si>
    <t>Plantio de mudas arbóreas com porte de 30 a 80 cm em covas de 0,60 x 0,60 x 0,60 m</t>
  </si>
  <si>
    <t>12.1</t>
  </si>
  <si>
    <t>5914389 - Transporte com caminhão basculante de 10 m³ - rodovia pavimentada</t>
  </si>
  <si>
    <t>PAVIMENTAÇÃO (IMPLANTAÇÃO)</t>
  </si>
  <si>
    <t>AQUISIÇÃO DE MATERIAL BETUMINOSO (IMPLANTAÇÃO)</t>
  </si>
  <si>
    <t>Areia média</t>
  </si>
  <si>
    <t>Brita 1</t>
  </si>
  <si>
    <t>Pedrisco</t>
  </si>
  <si>
    <t>Bria 0</t>
  </si>
  <si>
    <t>tkm</t>
  </si>
  <si>
    <t>MÊS DE REFERENCIA - JANEIRO DE 2021</t>
  </si>
  <si>
    <t>INDICE DE REAJUSTAMENTO: Conforme Portaria DNIT nº 1977 de 25/10/2017</t>
  </si>
  <si>
    <t>TRANSPORTES DE MATERIAIS BETUMINOSOS EM RODOVIA</t>
  </si>
  <si>
    <t>OPÇÃO 1</t>
  </si>
  <si>
    <t>ORIGEM:</t>
  </si>
  <si>
    <t>CUIABÁ-MT</t>
  </si>
  <si>
    <t>CAMINHÃO:</t>
  </si>
  <si>
    <t>2S3 - Caminhão tanque de asfalto com capacidade de 25t - 5 eixos</t>
  </si>
  <si>
    <t>Cálculo conforme Portaria N° 1078 de 25 de outubro de 2017</t>
  </si>
  <si>
    <t>Natureza do Tranporte</t>
  </si>
  <si>
    <t>Equação (1)</t>
  </si>
  <si>
    <t>DMT (km) (2)</t>
  </si>
  <si>
    <t xml:space="preserve">Custo (R$/t)                         (3) = (1x2) </t>
  </si>
  <si>
    <t>Capacid. Transp. Caminhão 25t                 (4)= (3)/25</t>
  </si>
  <si>
    <t>Reajustamento</t>
  </si>
  <si>
    <t>Custo Final</t>
  </si>
  <si>
    <t xml:space="preserve">Io </t>
  </si>
  <si>
    <t>Ii</t>
  </si>
  <si>
    <t>Índice Reajuste</t>
  </si>
  <si>
    <t>(km/t)</t>
  </si>
  <si>
    <t>Rodovia Pavimentada</t>
  </si>
  <si>
    <t>(26,939+0,253xD)</t>
  </si>
  <si>
    <t>PEDÁGIO</t>
  </si>
  <si>
    <t>Valor Unitário</t>
  </si>
  <si>
    <t>Nº de Eixos</t>
  </si>
  <si>
    <t>OBS: Para o reajustamento do pedagio foi utilizado o ultimo indice de reajustamento disponivel pelo DNIT de agosto de 2020.</t>
  </si>
  <si>
    <t>NATUREZA DO TRANSPORTE</t>
  </si>
  <si>
    <t>EQUAÇÕES TARIFÁRIAS DE TRANSPORTES</t>
  </si>
  <si>
    <t>Rodovia em revestimento primário</t>
  </si>
  <si>
    <t>(26,939+0,299xD)</t>
  </si>
  <si>
    <t>Rodovia em leito natural</t>
  </si>
  <si>
    <t>(26,939+0,412xD)</t>
  </si>
  <si>
    <t>MÊS DE REFERENCIA - ABRIL DE 2020</t>
  </si>
  <si>
    <t>OPÇÃO 2</t>
  </si>
  <si>
    <t>OPÇÃO 3</t>
  </si>
  <si>
    <t>BETIM-MG</t>
  </si>
  <si>
    <t>PAULÍNIA - SP</t>
  </si>
  <si>
    <t>INCIDENCIA DE ICMS 18% (4) = (3/(1-0,18)</t>
  </si>
  <si>
    <t>Capacid. Transp. Caminhão 25t               (4)= (3/25)</t>
  </si>
  <si>
    <t>Rondonópilis (BR 163)</t>
  </si>
  <si>
    <t>Campo Verde (BR 163)</t>
  </si>
  <si>
    <t>Santo Antonio do Leverger (BR 163)</t>
  </si>
  <si>
    <r>
      <rPr>
        <b/>
        <i/>
        <sz val="8"/>
        <rFont val="Arial"/>
        <family val="2"/>
      </rPr>
      <t xml:space="preserve">ESTUDO DAS OPÇÕES DE AQUISIÇÃO E TRANSPORTE DOS MATERIAIS BETUMINOSOS
</t>
    </r>
    <r>
      <rPr>
        <b/>
        <i/>
        <sz val="8"/>
        <rFont val="Arial"/>
        <family val="2"/>
      </rPr>
      <t>BINÔMIO "AQUISIÇÃO + TRANSPORTE"</t>
    </r>
  </si>
  <si>
    <t>AQUISIÇÃO E TRANSPORTE DOS MATERIAIS BETUMINOSOS</t>
  </si>
  <si>
    <r>
      <rPr>
        <b/>
        <sz val="7"/>
        <rFont val="Arial"/>
        <family val="2"/>
      </rPr>
      <t>OPÇÃO 1 - MATO GROSSO</t>
    </r>
  </si>
  <si>
    <r>
      <rPr>
        <b/>
        <sz val="7"/>
        <color indexed="9"/>
        <rFont val="Arial"/>
        <family val="2"/>
      </rPr>
      <t>- Insumos Betuminosos -</t>
    </r>
  </si>
  <si>
    <t>AQUISIÇÃO DE MATERIAIS BETUMINOSOS</t>
  </si>
  <si>
    <r>
      <rPr>
        <sz val="7"/>
        <rFont val="Arial"/>
        <family val="2"/>
      </rPr>
      <t>SICRO</t>
    </r>
  </si>
  <si>
    <r>
      <rPr>
        <sz val="7"/>
        <rFont val="Arial"/>
        <family val="2"/>
      </rPr>
      <t>MATERIAL</t>
    </r>
  </si>
  <si>
    <r>
      <rPr>
        <sz val="7"/>
        <rFont val="Arial"/>
        <family val="2"/>
      </rPr>
      <t xml:space="preserve">BASE
</t>
    </r>
    <r>
      <rPr>
        <sz val="7"/>
        <rFont val="Arial"/>
        <family val="2"/>
      </rPr>
      <t>DE PREÇO</t>
    </r>
  </si>
  <si>
    <r>
      <rPr>
        <sz val="7"/>
        <rFont val="Arial"/>
        <family val="2"/>
      </rPr>
      <t xml:space="preserve">CUSTO
</t>
    </r>
    <r>
      <rPr>
        <i/>
        <sz val="7"/>
        <rFont val="Arial"/>
        <family val="2"/>
      </rPr>
      <t>em kg</t>
    </r>
  </si>
  <si>
    <r>
      <rPr>
        <sz val="7"/>
        <rFont val="Arial"/>
        <family val="2"/>
      </rPr>
      <t xml:space="preserve">CUSTO
</t>
    </r>
    <r>
      <rPr>
        <i/>
        <sz val="7"/>
        <rFont val="Arial"/>
        <family val="2"/>
      </rPr>
      <t>em ton</t>
    </r>
  </si>
  <si>
    <r>
      <rPr>
        <sz val="7"/>
        <rFont val="Arial"/>
        <family val="2"/>
      </rPr>
      <t xml:space="preserve">Impostos
</t>
    </r>
    <r>
      <rPr>
        <i/>
        <sz val="6"/>
        <rFont val="Arial"/>
        <family val="2"/>
      </rPr>
      <t>ICMS+PIS+COFINS</t>
    </r>
  </si>
  <si>
    <r>
      <rPr>
        <sz val="7"/>
        <rFont val="Arial"/>
        <family val="2"/>
      </rPr>
      <t>BASE DO FORN.</t>
    </r>
  </si>
  <si>
    <r>
      <rPr>
        <sz val="7"/>
        <rFont val="Arial"/>
        <family val="2"/>
      </rPr>
      <t>Custo com Impostos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</si>
  <si>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Rod. Pav.(R$/ton)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</si>
  <si>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Rev. prim.(R$/ton)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</si>
  <si>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L. Nat. (R$/ton)</t>
    </r>
  </si>
  <si>
    <r>
      <rPr>
        <b/>
        <sz val="7"/>
        <rFont val="Arial"/>
        <family val="2"/>
      </rPr>
      <t xml:space="preserve">Pr. Unitário
</t>
    </r>
    <r>
      <rPr>
        <b/>
        <i/>
        <sz val="7"/>
        <rFont val="Arial"/>
        <family val="2"/>
      </rPr>
      <t>c/ bdi (15,00%)</t>
    </r>
  </si>
  <si>
    <t>M1943</t>
  </si>
  <si>
    <t>CAP 50-70</t>
  </si>
  <si>
    <r>
      <rPr>
        <sz val="7"/>
        <rFont val="Arial"/>
        <family val="2"/>
      </rPr>
      <t>UF</t>
    </r>
  </si>
  <si>
    <r>
      <rPr>
        <sz val="7"/>
        <rFont val="Arial"/>
        <family val="2"/>
      </rPr>
      <t>Cuiabá</t>
    </r>
  </si>
  <si>
    <r>
      <rPr>
        <sz val="7"/>
        <rFont val="Arial"/>
        <family val="2"/>
      </rPr>
      <t>-</t>
    </r>
  </si>
  <si>
    <r>
      <rPr>
        <sz val="7"/>
        <rFont val="Arial"/>
        <family val="2"/>
      </rPr>
      <t>M0104</t>
    </r>
  </si>
  <si>
    <r>
      <rPr>
        <sz val="7"/>
        <rFont val="Arial"/>
        <family val="2"/>
      </rPr>
      <t>CM 30</t>
    </r>
  </si>
  <si>
    <r>
      <rPr>
        <sz val="7"/>
        <rFont val="Arial"/>
        <family val="2"/>
      </rPr>
      <t>M1956</t>
    </r>
  </si>
  <si>
    <r>
      <rPr>
        <sz val="7"/>
        <rFont val="Arial"/>
        <family val="2"/>
      </rPr>
      <t>REGIÃO</t>
    </r>
  </si>
  <si>
    <r>
      <rPr>
        <b/>
        <sz val="7"/>
        <rFont val="Arial"/>
        <family val="2"/>
      </rPr>
      <t>OPÇÃO 2 - MINAS GERAIS</t>
    </r>
  </si>
  <si>
    <r>
      <rPr>
        <sz val="7"/>
        <rFont val="Arial"/>
        <family val="2"/>
      </rPr>
      <t>Betim</t>
    </r>
  </si>
  <si>
    <t>RR-2C</t>
  </si>
  <si>
    <r>
      <rPr>
        <b/>
        <sz val="7"/>
        <rFont val="Arial"/>
        <family val="2"/>
      </rPr>
      <t>OPÇÃO 3 - SÃO PAULO</t>
    </r>
  </si>
  <si>
    <r>
      <rPr>
        <sz val="7"/>
        <rFont val="Arial"/>
        <family val="2"/>
      </rPr>
      <t>Paulínia</t>
    </r>
  </si>
  <si>
    <t>FONTE : ANP ABRIL/2020</t>
  </si>
  <si>
    <t xml:space="preserve">Nota 1: A incidência de ICMS sobre aquisição de produtos betuminosos no Mato Grosso, seguiu o artigo 47 do Anexo V do Decreto Estadual nº 2.212, de 20/03/2014. </t>
  </si>
  <si>
    <t>Nota 2: Alíquota do ICMS em Mato Grosso = 17,00%, PIS/Pasep = 0,65% e COFINS = 3,00% (Conforme Portaria DNIT Nº 1977 DE 25/10/2017, Art. 2º).</t>
  </si>
  <si>
    <r>
      <rPr>
        <b/>
        <sz val="7"/>
        <rFont val="Arial"/>
        <family val="2"/>
      </rPr>
      <t>Nota 3: O BDI Diferenciado foi considerado de acordo com o menor custo da obra, sem desoneração.</t>
    </r>
  </si>
  <si>
    <t>TRANSPORTE P/ PAVIMENTAÇÃO (IMPLANTAÇÃO)</t>
  </si>
  <si>
    <t>Lastro de vala com preparo de fundo, largura menor que 1,5 m, com camada de brita, lançamento manual, em local com nível baixo de interferência. Af_06/2016</t>
  </si>
  <si>
    <t>COMP. 4.7</t>
  </si>
  <si>
    <t>B.D.I. :</t>
  </si>
  <si>
    <t>B.D.I. DIFERENCIADO :</t>
  </si>
  <si>
    <t>9.3</t>
  </si>
  <si>
    <t>9.4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</si>
  <si>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</si>
  <si>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</si>
  <si>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</si>
  <si>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</si>
  <si>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</si>
  <si>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</si>
  <si>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</si>
  <si>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</si>
  <si>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</si>
  <si>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XIII</t>
  </si>
  <si>
    <t>13.0</t>
  </si>
  <si>
    <t>13.1</t>
  </si>
  <si>
    <t>13.2</t>
  </si>
  <si>
    <t>13.3</t>
  </si>
  <si>
    <t>13.4</t>
  </si>
  <si>
    <t>13.5</t>
  </si>
  <si>
    <t>13.6</t>
  </si>
  <si>
    <t>14.0</t>
  </si>
  <si>
    <t>14.1</t>
  </si>
  <si>
    <t>14.2</t>
  </si>
  <si>
    <t>COMP 3.1</t>
  </si>
  <si>
    <t>COMP 3.2</t>
  </si>
  <si>
    <t>COMP 3.3</t>
  </si>
  <si>
    <t>COMP 3.4</t>
  </si>
  <si>
    <t>COT 1</t>
  </si>
  <si>
    <t>COT 2</t>
  </si>
  <si>
    <t>COMP. 5.3</t>
  </si>
  <si>
    <t>COMP. 10.2</t>
  </si>
  <si>
    <t>COMP. 10.3</t>
  </si>
  <si>
    <t>COMP. 10.5</t>
  </si>
  <si>
    <t>COMP. 10.6</t>
  </si>
  <si>
    <t>COMP. 10.8</t>
  </si>
  <si>
    <t>COMP. 10.10</t>
  </si>
  <si>
    <t>COMP. 10.11</t>
  </si>
  <si>
    <t>COMP. 8.1</t>
  </si>
  <si>
    <t>COMP. 13.5</t>
  </si>
  <si>
    <t>COMP. 13.6</t>
  </si>
  <si>
    <t>COMP. 9.3</t>
  </si>
  <si>
    <t>Nota 4: UF = ICMS no estado de SP e MG é de 18%.</t>
  </si>
  <si>
    <t>Nota 5: UF = Unidade da Federação.</t>
  </si>
  <si>
    <t>COT 4/5/6</t>
  </si>
  <si>
    <t>Execução de passeio (calçada) ou piso de concreto com concreto moldado in loco, usinado, acabamento convencional, não armado. Af_07/2016</t>
  </si>
  <si>
    <t>m3</t>
  </si>
  <si>
    <t>F.UTILIZAÇÃO FATOR</t>
  </si>
  <si>
    <t>Compactação de aterros a 100% do Proctor intermediário</t>
  </si>
  <si>
    <t>4.9</t>
  </si>
  <si>
    <t>Escavação e carga de material de jazida com escavadeira hidráulica de 1,56 m³</t>
  </si>
  <si>
    <t>Carga, manobras e descarga de areia, brita, pedra de mão e solos com caminhão basculante 6 m3 (descarga livre)</t>
  </si>
  <si>
    <t>5.9</t>
  </si>
  <si>
    <t>COMP. 5.6</t>
  </si>
  <si>
    <t>Piso podotátil, direcional ou alerta, assentado sobre argamassa AF 05/2020</t>
  </si>
  <si>
    <t>9.5</t>
  </si>
  <si>
    <t>09/2021 SINAPI</t>
  </si>
  <si>
    <t>04/2021 SICRO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</si>
</sst>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0.0000"/>
    <numFmt numFmtId="172" formatCode="_(* #,##0.000_);_(* \(#,##0.000\);_(* &quot;-&quot;??_);_(@_)"/>
    <numFmt numFmtId="173" formatCode="_(* #,##0.0_);_(* \(#,##0.0\);_(* &quot;-&quot;??_);_(@_)"/>
    <numFmt numFmtId="174" formatCode="&quot;Cr$&quot;#,##0_);\(&quot;Cr$&quot;#,##0\)"/>
    <numFmt numFmtId="175" formatCode="#,##0.0000"/>
    <numFmt numFmtId="176" formatCode="0.0"/>
    <numFmt numFmtId="177" formatCode="_(* #,##0.0000_);_(* \(#,##0.0000\);_(* &quot;-&quot;??_);_(@_)"/>
    <numFmt numFmtId="178" formatCode="_(* #,##0.00_);_(* \(#,##0.00\);_(* \-??_);_(@_)"/>
    <numFmt numFmtId="179" formatCode="_([$€-2]* #,##0.00_);_([$€-2]* \(#,##0.00\);_([$€-2]* &quot;-&quot;??_)"/>
    <numFmt numFmtId="180" formatCode="#,##0.00_ ;\-#,##0.00\ "/>
    <numFmt numFmtId="181" formatCode="0.0%"/>
    <numFmt numFmtId="182" formatCode="[$-F800]dddd\,\ mmmm\ dd\,\ yyyy"/>
    <numFmt numFmtId="183" formatCode="_(* #,##0.000_);_(* \(#,##0.000\);_(* &quot;-&quot;???_);_(@_)"/>
    <numFmt numFmtId="184" formatCode="_-* #,##0.0000_-;\-* #,##0.0000_-;_-* &quot;-&quot;??_-;_-@_-"/>
    <numFmt numFmtId="185" formatCode="0.000%"/>
    <numFmt numFmtId="186" formatCode="0.00000"/>
    <numFmt numFmtId="187" formatCode="_-&quot;R$&quot;\ * #,##0.00_-;\-&quot;R$&quot;\ * #,##0.00_-;_-&quot;R$&quot;\ * &quot;-&quot;???_-;_-@_-"/>
    <numFmt numFmtId="188" formatCode="_-[$R$-416]\ * #,##0.00_-;\-[$R$-416]\ * #,##0.00_-;_-[$R$-416]\ * &quot;-&quot;??_-;_-@_-"/>
    <numFmt numFmtId="189" formatCode="#,##0.00000"/>
  </numFmts>
  <fonts count="104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Times New Roman"/>
      <family val="1"/>
    </font>
    <font>
      <b/>
      <u/>
      <sz val="10"/>
      <color indexed="8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  <font>
      <b/>
      <sz val="14"/>
      <name val="Arial"/>
      <family val="2"/>
    </font>
    <font>
      <b/>
      <sz val="16"/>
      <name val="Times New Roman"/>
      <family val="1"/>
    </font>
    <font>
      <sz val="8.5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0"/>
      <color indexed="13"/>
      <name val="Times New Roman"/>
      <family val="1"/>
    </font>
    <font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i/>
      <sz val="6"/>
      <name val="Arial"/>
      <family val="2"/>
    </font>
    <font>
      <b/>
      <i/>
      <sz val="7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333333"/>
      <name val="Arial"/>
      <family val="2"/>
    </font>
    <font>
      <b/>
      <sz val="7"/>
      <color rgb="FFFFFFFF"/>
      <name val="Arial"/>
      <family val="2"/>
    </font>
    <font>
      <b/>
      <i/>
      <sz val="7"/>
      <color rgb="FFFFFFFF"/>
      <name val="Arial"/>
      <family val="2"/>
    </font>
    <font>
      <b/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1"/>
      <name val="Arial"/>
      <family val="1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93283"/>
      </patternFill>
    </fill>
    <fill>
      <patternFill patternType="solid">
        <fgColor theme="0" tint="-4.9989318521683403E-2"/>
        <bgColor indexed="64"/>
      </patternFill>
    </fill>
  </fills>
  <borders count="1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823">
    <xf numFmtId="0" fontId="0" fillId="0" borderId="0"/>
    <xf numFmtId="0" fontId="3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" fillId="2" borderId="0" applyNumberFormat="0" applyFont="0" applyFill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" fillId="2" borderId="0" applyNumberFormat="0" applyFont="0" applyFill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" fillId="3" borderId="0" applyNumberFormat="0" applyFont="0" applyFill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" fillId="3" borderId="0" applyNumberFormat="0" applyFont="0" applyFill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" fillId="4" borderId="0" applyNumberFormat="0" applyFont="0" applyFill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" fillId="4" borderId="0" applyNumberFormat="0" applyFont="0" applyFill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" fillId="2" borderId="0" applyNumberFormat="0" applyFont="0" applyFill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" fillId="2" borderId="0" applyNumberFormat="0" applyFont="0" applyFill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" fillId="4" borderId="0" applyNumberFormat="0" applyFont="0" applyFill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" fillId="4" borderId="0" applyNumberFormat="0" applyFont="0" applyFill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" fillId="3" borderId="0" applyNumberFormat="0" applyFont="0" applyFill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" fillId="3" borderId="0" applyNumberFormat="0" applyFont="0" applyFill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" fillId="2" borderId="0" applyNumberFormat="0" applyFont="0" applyFill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" fillId="2" borderId="0" applyNumberFormat="0" applyFont="0" applyFill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" fillId="9" borderId="0" applyNumberFormat="0" applyFont="0" applyFill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" fillId="9" borderId="0" applyNumberFormat="0" applyFont="0" applyFill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" fillId="14" borderId="0" applyNumberFormat="0" applyFont="0" applyFill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" fillId="14" borderId="0" applyNumberFormat="0" applyFont="0" applyFill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" fillId="2" borderId="0" applyNumberFormat="0" applyFont="0" applyFill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" fillId="2" borderId="0" applyNumberFormat="0" applyFont="0" applyFill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" fillId="2" borderId="0" applyNumberFormat="0" applyFont="0" applyFill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" fillId="2" borderId="0" applyNumberFormat="0" applyFont="0" applyFill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" fillId="15" borderId="0" applyNumberFormat="0" applyFont="0" applyFill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" fillId="15" borderId="0" applyNumberFormat="0" applyFont="0" applyFill="0" applyProtection="0"/>
    <xf numFmtId="0" fontId="13" fillId="12" borderId="0" applyNumberFormat="0" applyBorder="0" applyAlignment="0" applyProtection="0"/>
    <xf numFmtId="0" fontId="14" fillId="16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41" fillId="16" borderId="0" applyNumberFormat="0" applyFont="0" applyFill="0" applyProtection="0"/>
    <xf numFmtId="0" fontId="41" fillId="16" borderId="0" applyNumberFormat="0" applyFont="0" applyFill="0" applyProtection="0"/>
    <xf numFmtId="0" fontId="14" fillId="6" borderId="0" applyNumberFormat="0" applyBorder="0" applyAlignment="0" applyProtection="0"/>
    <xf numFmtId="0" fontId="41" fillId="16" borderId="0" applyNumberFormat="0" applyFont="0" applyFill="0" applyProtection="0"/>
    <xf numFmtId="0" fontId="14" fillId="16" borderId="0" applyNumberFormat="0" applyBorder="0" applyAlignment="0" applyProtection="0"/>
    <xf numFmtId="0" fontId="41" fillId="16" borderId="0" applyNumberFormat="0" applyFont="0" applyFill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41" fillId="9" borderId="0" applyNumberFormat="0" applyFont="0" applyFill="0" applyProtection="0"/>
    <xf numFmtId="0" fontId="41" fillId="9" borderId="0" applyNumberFormat="0" applyFont="0" applyFill="0" applyProtection="0"/>
    <xf numFmtId="0" fontId="14" fillId="20" borderId="0" applyNumberFormat="0" applyBorder="0" applyAlignment="0" applyProtection="0"/>
    <xf numFmtId="0" fontId="41" fillId="9" borderId="0" applyNumberFormat="0" applyFont="0" applyFill="0" applyProtection="0"/>
    <xf numFmtId="0" fontId="14" fillId="9" borderId="0" applyNumberFormat="0" applyBorder="0" applyAlignment="0" applyProtection="0"/>
    <xf numFmtId="0" fontId="41" fillId="9" borderId="0" applyNumberFormat="0" applyFont="0" applyFill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41" fillId="14" borderId="0" applyNumberFormat="0" applyFont="0" applyFill="0" applyProtection="0"/>
    <xf numFmtId="0" fontId="41" fillId="14" borderId="0" applyNumberFormat="0" applyFont="0" applyFill="0" applyProtection="0"/>
    <xf numFmtId="0" fontId="14" fillId="12" borderId="0" applyNumberFormat="0" applyBorder="0" applyAlignment="0" applyProtection="0"/>
    <xf numFmtId="0" fontId="41" fillId="14" borderId="0" applyNumberFormat="0" applyFont="0" applyFill="0" applyProtection="0"/>
    <xf numFmtId="0" fontId="14" fillId="11" borderId="0" applyNumberFormat="0" applyBorder="0" applyAlignment="0" applyProtection="0"/>
    <xf numFmtId="0" fontId="41" fillId="14" borderId="0" applyNumberFormat="0" applyFont="0" applyFill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41" fillId="21" borderId="0" applyNumberFormat="0" applyFont="0" applyFill="0" applyProtection="0"/>
    <xf numFmtId="0" fontId="14" fillId="3" borderId="0" applyNumberFormat="0" applyBorder="0" applyAlignment="0" applyProtection="0"/>
    <xf numFmtId="0" fontId="41" fillId="21" borderId="0" applyNumberFormat="0" applyFont="0" applyFill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41" fillId="18" borderId="0" applyNumberFormat="0" applyFont="0" applyFill="0" applyProtection="0"/>
    <xf numFmtId="0" fontId="14" fillId="6" borderId="0" applyNumberFormat="0" applyBorder="0" applyAlignment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41" fillId="15" borderId="0" applyNumberFormat="0" applyFont="0" applyFill="0" applyProtection="0"/>
    <xf numFmtId="0" fontId="41" fillId="15" borderId="0" applyNumberFormat="0" applyFont="0" applyFill="0" applyProtection="0"/>
    <xf numFmtId="0" fontId="14" fillId="9" borderId="0" applyNumberFormat="0" applyBorder="0" applyAlignment="0" applyProtection="0"/>
    <xf numFmtId="0" fontId="41" fillId="15" borderId="0" applyNumberFormat="0" applyFont="0" applyFill="0" applyProtection="0"/>
    <xf numFmtId="0" fontId="14" fillId="19" borderId="0" applyNumberFormat="0" applyBorder="0" applyAlignment="0" applyProtection="0"/>
    <xf numFmtId="0" fontId="41" fillId="15" borderId="0" applyNumberFormat="0" applyFont="0" applyFill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21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4" borderId="0" applyNumberFormat="0" applyFont="0" applyFill="0" applyProtection="0"/>
    <xf numFmtId="0" fontId="42" fillId="4" borderId="0" applyNumberFormat="0" applyFont="0" applyFill="0" applyProtection="0"/>
    <xf numFmtId="0" fontId="15" fillId="6" borderId="0" applyNumberFormat="0" applyBorder="0" applyAlignment="0" applyProtection="0"/>
    <xf numFmtId="0" fontId="42" fillId="4" borderId="0" applyNumberFormat="0" applyFont="0" applyFill="0" applyProtection="0"/>
    <xf numFmtId="0" fontId="15" fillId="4" borderId="0" applyNumberFormat="0" applyBorder="0" applyAlignment="0" applyProtection="0"/>
    <xf numFmtId="0" fontId="42" fillId="4" borderId="0" applyNumberFormat="0" applyFont="0" applyFill="0" applyProtection="0"/>
    <xf numFmtId="0" fontId="30" fillId="25" borderId="1" applyNumberFormat="0" applyAlignment="0" applyProtection="0"/>
    <xf numFmtId="0" fontId="30" fillId="25" borderId="1" applyNumberFormat="0" applyAlignment="0" applyProtection="0"/>
    <xf numFmtId="0" fontId="30" fillId="25" borderId="1" applyNumberFormat="0" applyAlignment="0" applyProtection="0"/>
    <xf numFmtId="0" fontId="43" fillId="27" borderId="1" applyNumberFormat="0" applyFont="0" applyProtection="0"/>
    <xf numFmtId="0" fontId="30" fillId="25" borderId="1" applyNumberFormat="0" applyAlignment="0" applyProtection="0"/>
    <xf numFmtId="0" fontId="16" fillId="26" borderId="1" applyNumberFormat="0" applyAlignment="0" applyProtection="0"/>
    <xf numFmtId="0" fontId="43" fillId="27" borderId="1" applyNumberFormat="0" applyFont="0" applyProtection="0"/>
    <xf numFmtId="0" fontId="30" fillId="25" borderId="1" applyNumberFormat="0" applyAlignment="0" applyProtection="0"/>
    <xf numFmtId="0" fontId="43" fillId="27" borderId="1" applyNumberFormat="0" applyFont="0" applyProtection="0"/>
    <xf numFmtId="0" fontId="1" fillId="0" borderId="0"/>
    <xf numFmtId="0" fontId="17" fillId="28" borderId="2" applyNumberFormat="0" applyAlignme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17" fillId="28" borderId="2" applyNumberFormat="0" applyAlignme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31" fillId="0" borderId="4" applyNumberFormat="0" applyFill="0" applyAlignment="0" applyProtection="0"/>
    <xf numFmtId="0" fontId="31" fillId="0" borderId="4" applyNumberFormat="0" applyFill="0" applyAlignment="0" applyProtection="0"/>
    <xf numFmtId="0" fontId="45" fillId="0" borderId="5" applyNumberFormat="0" applyFont="0" applyAlignment="0" applyProtection="0"/>
    <xf numFmtId="0" fontId="31" fillId="0" borderId="4" applyNumberFormat="0" applyFill="0" applyAlignment="0" applyProtection="0"/>
    <xf numFmtId="0" fontId="18" fillId="0" borderId="6" applyNumberFormat="0" applyFill="0" applyAlignment="0" applyProtection="0"/>
    <xf numFmtId="0" fontId="45" fillId="0" borderId="5" applyNumberFormat="0" applyFont="0" applyAlignment="0" applyProtection="0"/>
    <xf numFmtId="0" fontId="31" fillId="0" borderId="4" applyNumberFormat="0" applyFill="0" applyAlignment="0" applyProtection="0"/>
    <xf numFmtId="0" fontId="45" fillId="0" borderId="5" applyNumberFormat="0" applyFon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41" fillId="22" borderId="0" applyNumberFormat="0" applyFont="0" applyFill="0" applyProtection="0"/>
    <xf numFmtId="0" fontId="41" fillId="22" borderId="0" applyNumberFormat="0" applyFont="0" applyFill="0" applyProtection="0"/>
    <xf numFmtId="0" fontId="14" fillId="29" borderId="0" applyNumberFormat="0" applyBorder="0" applyAlignment="0" applyProtection="0"/>
    <xf numFmtId="0" fontId="41" fillId="22" borderId="0" applyNumberFormat="0" applyFont="0" applyFill="0" applyProtection="0"/>
    <xf numFmtId="0" fontId="14" fillId="22" borderId="0" applyNumberFormat="0" applyBorder="0" applyAlignment="0" applyProtection="0"/>
    <xf numFmtId="0" fontId="41" fillId="22" borderId="0" applyNumberFormat="0" applyFont="0" applyFill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41" fillId="30" borderId="0" applyNumberFormat="0" applyFont="0" applyFill="0" applyProtection="0"/>
    <xf numFmtId="0" fontId="41" fillId="30" borderId="0" applyNumberFormat="0" applyFont="0" applyFill="0" applyProtection="0"/>
    <xf numFmtId="0" fontId="14" fillId="20" borderId="0" applyNumberFormat="0" applyBorder="0" applyAlignment="0" applyProtection="0"/>
    <xf numFmtId="0" fontId="41" fillId="30" borderId="0" applyNumberFormat="0" applyFont="0" applyFill="0" applyProtection="0"/>
    <xf numFmtId="0" fontId="14" fillId="23" borderId="0" applyNumberFormat="0" applyBorder="0" applyAlignment="0" applyProtection="0"/>
    <xf numFmtId="0" fontId="41" fillId="30" borderId="0" applyNumberFormat="0" applyFont="0" applyFill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41" fillId="31" borderId="0" applyNumberFormat="0" applyFont="0" applyFill="0" applyProtection="0"/>
    <xf numFmtId="0" fontId="41" fillId="31" borderId="0" applyNumberFormat="0" applyFont="0" applyFill="0" applyProtection="0"/>
    <xf numFmtId="0" fontId="14" fillId="12" borderId="0" applyNumberFormat="0" applyBorder="0" applyAlignment="0" applyProtection="0"/>
    <xf numFmtId="0" fontId="41" fillId="31" borderId="0" applyNumberFormat="0" applyFont="0" applyFill="0" applyProtection="0"/>
    <xf numFmtId="0" fontId="14" fillId="24" borderId="0" applyNumberFormat="0" applyBorder="0" applyAlignment="0" applyProtection="0"/>
    <xf numFmtId="0" fontId="41" fillId="31" borderId="0" applyNumberFormat="0" applyFont="0" applyFill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41" fillId="21" borderId="0" applyNumberFormat="0" applyFont="0" applyFill="0" applyProtection="0"/>
    <xf numFmtId="0" fontId="14" fillId="32" borderId="0" applyNumberFormat="0" applyBorder="0" applyAlignment="0" applyProtection="0"/>
    <xf numFmtId="0" fontId="41" fillId="21" borderId="0" applyNumberFormat="0" applyFont="0" applyFill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41" fillId="23" borderId="0" applyNumberFormat="0" applyFont="0" applyFill="0" applyProtection="0"/>
    <xf numFmtId="0" fontId="41" fillId="23" borderId="0" applyNumberFormat="0" applyFont="0" applyFill="0" applyProtection="0"/>
    <xf numFmtId="0" fontId="14" fillId="23" borderId="0" applyNumberFormat="0" applyBorder="0" applyAlignment="0" applyProtection="0"/>
    <xf numFmtId="0" fontId="41" fillId="23" borderId="0" applyNumberFormat="0" applyFont="0" applyFill="0" applyProtection="0"/>
    <xf numFmtId="0" fontId="14" fillId="20" borderId="0" applyNumberFormat="0" applyBorder="0" applyAlignment="0" applyProtection="0"/>
    <xf numFmtId="0" fontId="41" fillId="23" borderId="0" applyNumberFormat="0" applyFont="0" applyFill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6" fillId="3" borderId="1" applyNumberFormat="0" applyFont="0" applyProtection="0"/>
    <xf numFmtId="0" fontId="19" fillId="7" borderId="1" applyNumberFormat="0" applyAlignment="0" applyProtection="0"/>
    <xf numFmtId="0" fontId="19" fillId="13" borderId="1" applyNumberFormat="0" applyAlignment="0" applyProtection="0"/>
    <xf numFmtId="0" fontId="46" fillId="3" borderId="1" applyNumberFormat="0" applyFont="0" applyProtection="0"/>
    <xf numFmtId="0" fontId="19" fillId="7" borderId="1" applyNumberFormat="0" applyAlignment="0" applyProtection="0"/>
    <xf numFmtId="0" fontId="46" fillId="3" borderId="1" applyNumberFormat="0" applyFont="0" applyProtection="0"/>
    <xf numFmtId="0" fontId="38" fillId="0" borderId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9" fillId="0" borderId="0"/>
    <xf numFmtId="0" fontId="58" fillId="0" borderId="0"/>
    <xf numFmtId="0" fontId="57" fillId="0" borderId="0"/>
    <xf numFmtId="178" fontId="57" fillId="0" borderId="0" applyBorder="0" applyProtection="0"/>
    <xf numFmtId="0" fontId="24" fillId="0" borderId="0" applyNumberFormat="0" applyFill="0" applyBorder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7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8" fillId="3" borderId="0" applyNumberFormat="0" applyFont="0" applyFill="0" applyProtection="0"/>
    <xf numFmtId="0" fontId="48" fillId="3" borderId="0" applyNumberFormat="0" applyFont="0" applyFill="0" applyProtection="0"/>
    <xf numFmtId="0" fontId="21" fillId="5" borderId="0" applyNumberFormat="0" applyBorder="0" applyAlignment="0" applyProtection="0"/>
    <xf numFmtId="0" fontId="48" fillId="3" borderId="0" applyNumberFormat="0" applyFont="0" applyFill="0" applyProtection="0"/>
    <xf numFmtId="0" fontId="21" fillId="3" borderId="0" applyNumberFormat="0" applyBorder="0" applyAlignment="0" applyProtection="0"/>
    <xf numFmtId="0" fontId="48" fillId="3" borderId="0" applyNumberFormat="0" applyFont="0" applyFill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49" fillId="10" borderId="0" applyNumberFormat="0" applyFont="0" applyFill="0" applyProtection="0"/>
    <xf numFmtId="0" fontId="49" fillId="10" borderId="0" applyNumberFormat="0" applyFont="0" applyFill="0" applyProtection="0"/>
    <xf numFmtId="0" fontId="22" fillId="13" borderId="0" applyNumberFormat="0" applyBorder="0" applyAlignment="0" applyProtection="0"/>
    <xf numFmtId="0" fontId="49" fillId="10" borderId="0" applyNumberFormat="0" applyFont="0" applyFill="0" applyProtection="0"/>
    <xf numFmtId="0" fontId="33" fillId="13" borderId="0" applyNumberFormat="0" applyBorder="0" applyAlignment="0" applyProtection="0"/>
    <xf numFmtId="0" fontId="49" fillId="10" borderId="0" applyNumberFormat="0" applyFont="0" applyFill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9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50" fillId="0" borderId="0" applyNumberFormat="0" applyFill="0" applyBorder="0" applyProtection="0">
      <alignment vertical="top" wrapText="1"/>
    </xf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7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1" fillId="10" borderId="10" applyNumberFormat="0" applyFont="0" applyBorder="0" applyProtection="0"/>
    <xf numFmtId="0" fontId="32" fillId="10" borderId="10" applyNumberFormat="0" applyFont="0" applyAlignment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" fillId="10" borderId="10" applyNumberFormat="0" applyFont="0" applyBorder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23" fillId="25" borderId="11" applyNumberFormat="0" applyAlignment="0" applyProtection="0"/>
    <xf numFmtId="0" fontId="39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1" fillId="26" borderId="94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51" fillId="27" borderId="13" applyNumberFormat="0" applyFont="0" applyProtection="0"/>
    <xf numFmtId="0" fontId="23" fillId="25" borderId="11" applyNumberFormat="0" applyAlignment="0" applyProtection="0"/>
    <xf numFmtId="0" fontId="23" fillId="26" borderId="11" applyNumberFormat="0" applyAlignment="0" applyProtection="0"/>
    <xf numFmtId="0" fontId="51" fillId="27" borderId="13" applyNumberFormat="0" applyFont="0" applyProtection="0"/>
    <xf numFmtId="0" fontId="23" fillId="25" borderId="11" applyNumberFormat="0" applyAlignment="0" applyProtection="0"/>
    <xf numFmtId="0" fontId="51" fillId="27" borderId="13" applyNumberFormat="0" applyFo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40" fillId="0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52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35" fillId="0" borderId="7" applyNumberFormat="0" applyFill="0" applyAlignment="0" applyProtection="0"/>
    <xf numFmtId="0" fontId="35" fillId="0" borderId="7" applyNumberFormat="0" applyFill="0" applyAlignment="0" applyProtection="0"/>
    <xf numFmtId="0" fontId="53" fillId="0" borderId="15" applyNumberFormat="0" applyFont="0" applyAlignment="0" applyProtection="0"/>
    <xf numFmtId="0" fontId="35" fillId="0" borderId="7" applyNumberFormat="0" applyFill="0" applyAlignment="0" applyProtection="0"/>
    <xf numFmtId="0" fontId="26" fillId="0" borderId="14" applyNumberFormat="0" applyFill="0" applyAlignment="0" applyProtection="0"/>
    <xf numFmtId="0" fontId="53" fillId="0" borderId="15" applyNumberFormat="0" applyFont="0" applyAlignment="0" applyProtection="0"/>
    <xf numFmtId="0" fontId="35" fillId="0" borderId="7" applyNumberFormat="0" applyFill="0" applyAlignment="0" applyProtection="0"/>
    <xf numFmtId="0" fontId="53" fillId="0" borderId="15" applyNumberFormat="0" applyFont="0" applyAlignment="0" applyProtection="0"/>
    <xf numFmtId="0" fontId="54" fillId="0" borderId="0" applyNumberFormat="0" applyFon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55" fillId="0" borderId="8" applyNumberFormat="0" applyFont="0" applyAlignment="0" applyProtection="0"/>
    <xf numFmtId="0" fontId="36" fillId="0" borderId="8" applyNumberFormat="0" applyFill="0" applyAlignment="0" applyProtection="0"/>
    <xf numFmtId="0" fontId="27" fillId="0" borderId="16" applyNumberFormat="0" applyFill="0" applyAlignment="0" applyProtection="0"/>
    <xf numFmtId="0" fontId="55" fillId="0" borderId="8" applyNumberFormat="0" applyFont="0" applyAlignment="0" applyProtection="0"/>
    <xf numFmtId="0" fontId="36" fillId="0" borderId="8" applyNumberFormat="0" applyFill="0" applyAlignment="0" applyProtection="0"/>
    <xf numFmtId="0" fontId="55" fillId="0" borderId="8" applyNumberFormat="0" applyFont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56" fillId="0" borderId="15" applyNumberFormat="0" applyFont="0" applyAlignment="0" applyProtection="0"/>
    <xf numFmtId="0" fontId="37" fillId="0" borderId="9" applyNumberFormat="0" applyFill="0" applyAlignment="0" applyProtection="0"/>
    <xf numFmtId="0" fontId="28" fillId="0" borderId="17" applyNumberFormat="0" applyFill="0" applyAlignment="0" applyProtection="0"/>
    <xf numFmtId="0" fontId="56" fillId="0" borderId="15" applyNumberFormat="0" applyFont="0" applyAlignment="0" applyProtection="0"/>
    <xf numFmtId="0" fontId="37" fillId="0" borderId="9" applyNumberFormat="0" applyFill="0" applyAlignment="0" applyProtection="0"/>
    <xf numFmtId="0" fontId="56" fillId="0" borderId="15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56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54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6" fillId="0" borderId="20" applyNumberFormat="0" applyFont="0" applyAlignment="0" applyProtection="0"/>
    <xf numFmtId="0" fontId="29" fillId="0" borderId="19" applyNumberFormat="0" applyFill="0" applyAlignment="0" applyProtection="0"/>
    <xf numFmtId="0" fontId="29" fillId="0" borderId="18" applyNumberFormat="0" applyFill="0" applyAlignment="0" applyProtection="0"/>
    <xf numFmtId="0" fontId="6" fillId="0" borderId="20" applyNumberFormat="0" applyFont="0" applyAlignment="0" applyProtection="0"/>
    <xf numFmtId="0" fontId="29" fillId="0" borderId="19" applyNumberFormat="0" applyFill="0" applyAlignment="0" applyProtection="0"/>
    <xf numFmtId="0" fontId="6" fillId="0" borderId="20" applyNumberFormat="0" applyFont="0" applyAlignment="0" applyProtection="0"/>
    <xf numFmtId="0" fontId="29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</cellStyleXfs>
  <cellXfs count="9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0" fillId="0" borderId="0" xfId="0" applyNumberFormat="1"/>
    <xf numFmtId="0" fontId="2" fillId="0" borderId="21" xfId="0" applyFont="1" applyBorder="1" applyAlignment="1">
      <alignment horizontal="center" vertical="center"/>
    </xf>
    <xf numFmtId="0" fontId="2" fillId="3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82" fillId="0" borderId="95" xfId="0" applyFont="1" applyBorder="1" applyAlignment="1">
      <alignment horizontal="center"/>
    </xf>
    <xf numFmtId="4" fontId="82" fillId="0" borderId="96" xfId="0" applyNumberFormat="1" applyFont="1" applyBorder="1" applyAlignment="1">
      <alignment horizontal="center"/>
    </xf>
    <xf numFmtId="4" fontId="83" fillId="0" borderId="96" xfId="0" applyNumberFormat="1" applyFont="1" applyBorder="1" applyAlignment="1">
      <alignment horizontal="center"/>
    </xf>
    <xf numFmtId="0" fontId="83" fillId="0" borderId="96" xfId="0" applyFont="1" applyBorder="1" applyAlignment="1">
      <alignment horizontal="center"/>
    </xf>
    <xf numFmtId="0" fontId="84" fillId="0" borderId="97" xfId="0" applyFont="1" applyBorder="1" applyAlignment="1">
      <alignment horizontal="center"/>
    </xf>
    <xf numFmtId="0" fontId="83" fillId="0" borderId="95" xfId="0" applyFont="1" applyBorder="1" applyAlignment="1">
      <alignment horizontal="center"/>
    </xf>
    <xf numFmtId="0" fontId="83" fillId="36" borderId="95" xfId="0" applyFont="1" applyFill="1" applyBorder="1" applyAlignment="1">
      <alignment horizontal="center"/>
    </xf>
    <xf numFmtId="4" fontId="83" fillId="36" borderId="96" xfId="0" applyNumberFormat="1" applyFont="1" applyFill="1" applyBorder="1" applyAlignment="1">
      <alignment horizontal="center"/>
    </xf>
    <xf numFmtId="4" fontId="82" fillId="36" borderId="96" xfId="0" applyNumberFormat="1" applyFont="1" applyFill="1" applyBorder="1" applyAlignment="1">
      <alignment horizontal="center"/>
    </xf>
    <xf numFmtId="0" fontId="83" fillId="36" borderId="96" xfId="0" applyFont="1" applyFill="1" applyBorder="1" applyAlignment="1">
      <alignment horizontal="center"/>
    </xf>
    <xf numFmtId="0" fontId="84" fillId="36" borderId="97" xfId="0" applyFont="1" applyFill="1" applyBorder="1" applyAlignment="1">
      <alignment horizontal="center"/>
    </xf>
    <xf numFmtId="0" fontId="85" fillId="36" borderId="95" xfId="0" applyFont="1" applyFill="1" applyBorder="1" applyAlignment="1">
      <alignment horizontal="center"/>
    </xf>
    <xf numFmtId="4" fontId="85" fillId="36" borderId="96" xfId="0" applyNumberFormat="1" applyFont="1" applyFill="1" applyBorder="1" applyAlignment="1">
      <alignment horizontal="center"/>
    </xf>
    <xf numFmtId="4" fontId="86" fillId="36" borderId="96" xfId="0" applyNumberFormat="1" applyFont="1" applyFill="1" applyBorder="1" applyAlignment="1">
      <alignment horizontal="center"/>
    </xf>
    <xf numFmtId="0" fontId="85" fillId="36" borderId="96" xfId="0" applyFont="1" applyFill="1" applyBorder="1" applyAlignment="1">
      <alignment horizontal="center"/>
    </xf>
    <xf numFmtId="0" fontId="87" fillId="36" borderId="97" xfId="0" applyFont="1" applyFill="1" applyBorder="1" applyAlignment="1">
      <alignment horizontal="center"/>
    </xf>
    <xf numFmtId="165" fontId="83" fillId="0" borderId="96" xfId="0" applyNumberFormat="1" applyFont="1" applyBorder="1" applyAlignment="1">
      <alignment horizontal="center"/>
    </xf>
    <xf numFmtId="4" fontId="83" fillId="0" borderId="96" xfId="0" applyNumberFormat="1" applyFont="1" applyBorder="1" applyAlignment="1">
      <alignment horizontal="right"/>
    </xf>
    <xf numFmtId="4" fontId="83" fillId="0" borderId="96" xfId="0" applyNumberFormat="1" applyFont="1" applyBorder="1" applyAlignment="1"/>
    <xf numFmtId="0" fontId="83" fillId="0" borderId="96" xfId="0" applyFont="1" applyBorder="1" applyAlignment="1"/>
    <xf numFmtId="0" fontId="83" fillId="0" borderId="97" xfId="0" applyFont="1" applyBorder="1" applyAlignment="1"/>
    <xf numFmtId="0" fontId="83" fillId="37" borderId="0" xfId="0" applyFont="1" applyFill="1" applyBorder="1" applyAlignment="1"/>
    <xf numFmtId="0" fontId="82" fillId="0" borderId="98" xfId="0" applyFont="1" applyBorder="1" applyAlignment="1">
      <alignment horizontal="center"/>
    </xf>
    <xf numFmtId="4" fontId="82" fillId="0" borderId="99" xfId="0" applyNumberFormat="1" applyFont="1" applyBorder="1" applyAlignment="1">
      <alignment horizontal="center"/>
    </xf>
    <xf numFmtId="4" fontId="83" fillId="0" borderId="99" xfId="0" applyNumberFormat="1" applyFont="1" applyBorder="1" applyAlignment="1">
      <alignment horizontal="center"/>
    </xf>
    <xf numFmtId="0" fontId="83" fillId="0" borderId="99" xfId="0" applyFont="1" applyBorder="1" applyAlignment="1">
      <alignment horizontal="center"/>
    </xf>
    <xf numFmtId="0" fontId="84" fillId="0" borderId="100" xfId="0" applyFont="1" applyBorder="1" applyAlignment="1">
      <alignment horizontal="center"/>
    </xf>
    <xf numFmtId="0" fontId="88" fillId="0" borderId="101" xfId="0" applyFont="1" applyBorder="1" applyAlignment="1">
      <alignment horizontal="center"/>
    </xf>
    <xf numFmtId="0" fontId="88" fillId="0" borderId="102" xfId="0" applyFont="1" applyBorder="1" applyAlignment="1"/>
    <xf numFmtId="0" fontId="88" fillId="0" borderId="103" xfId="0" applyFont="1" applyBorder="1" applyAlignment="1">
      <alignment horizontal="center"/>
    </xf>
    <xf numFmtId="0" fontId="88" fillId="0" borderId="104" xfId="0" applyFont="1" applyBorder="1" applyAlignment="1">
      <alignment horizontal="center"/>
    </xf>
    <xf numFmtId="0" fontId="0" fillId="37" borderId="22" xfId="0" applyFont="1" applyFill="1" applyBorder="1" applyAlignment="1"/>
    <xf numFmtId="0" fontId="0" fillId="37" borderId="23" xfId="0" applyFont="1" applyFill="1" applyBorder="1" applyAlignment="1"/>
    <xf numFmtId="4" fontId="83" fillId="38" borderId="96" xfId="0" applyNumberFormat="1" applyFont="1" applyFill="1" applyBorder="1" applyAlignment="1">
      <alignment horizontal="center"/>
    </xf>
    <xf numFmtId="170" fontId="2" fillId="0" borderId="21" xfId="0" applyNumberFormat="1" applyFont="1" applyBorder="1" applyAlignment="1">
      <alignment horizontal="center" vertical="center"/>
    </xf>
    <xf numFmtId="0" fontId="2" fillId="33" borderId="21" xfId="0" applyFont="1" applyFill="1" applyBorder="1" applyAlignment="1">
      <alignment horizontal="center"/>
    </xf>
    <xf numFmtId="0" fontId="2" fillId="33" borderId="21" xfId="0" applyFont="1" applyFill="1" applyBorder="1" applyAlignment="1">
      <alignment horizontal="center" vertical="center" wrapText="1"/>
    </xf>
    <xf numFmtId="0" fontId="2" fillId="33" borderId="21" xfId="0" applyFont="1" applyFill="1" applyBorder="1" applyAlignment="1">
      <alignment horizontal="centerContinuous"/>
    </xf>
    <xf numFmtId="0" fontId="2" fillId="0" borderId="21" xfId="0" applyFont="1" applyFill="1" applyBorder="1" applyAlignment="1">
      <alignment horizontal="center" vertical="center"/>
    </xf>
    <xf numFmtId="170" fontId="2" fillId="33" borderId="21" xfId="0" applyNumberFormat="1" applyFont="1" applyFill="1" applyBorder="1" applyAlignment="1">
      <alignment horizontal="center" vertical="center"/>
    </xf>
    <xf numFmtId="43" fontId="0" fillId="0" borderId="0" xfId="0" applyNumberFormat="1"/>
    <xf numFmtId="0" fontId="6" fillId="0" borderId="21" xfId="0" applyFont="1" applyBorder="1" applyAlignment="1">
      <alignment horizontal="center"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39" fontId="7" fillId="35" borderId="21" xfId="0" applyNumberFormat="1" applyFont="1" applyFill="1" applyBorder="1" applyAlignment="1">
      <alignment horizontal="center" vertical="center"/>
    </xf>
    <xf numFmtId="0" fontId="0" fillId="37" borderId="0" xfId="0" applyFont="1" applyFill="1" applyBorder="1" applyAlignment="1"/>
    <xf numFmtId="0" fontId="89" fillId="37" borderId="0" xfId="0" applyFont="1" applyFill="1" applyBorder="1" applyAlignment="1"/>
    <xf numFmtId="0" fontId="90" fillId="37" borderId="0" xfId="0" applyFont="1" applyFill="1" applyBorder="1" applyAlignment="1"/>
    <xf numFmtId="0" fontId="90" fillId="37" borderId="27" xfId="0" applyFont="1" applyFill="1" applyBorder="1" applyAlignment="1"/>
    <xf numFmtId="4" fontId="90" fillId="37" borderId="0" xfId="0" applyNumberFormat="1" applyFont="1" applyFill="1" applyBorder="1" applyAlignment="1"/>
    <xf numFmtId="0" fontId="91" fillId="37" borderId="27" xfId="0" applyFont="1" applyFill="1" applyBorder="1" applyAlignment="1"/>
    <xf numFmtId="40" fontId="90" fillId="37" borderId="0" xfId="0" applyNumberFormat="1" applyFont="1" applyFill="1" applyBorder="1" applyAlignment="1"/>
    <xf numFmtId="0" fontId="89" fillId="37" borderId="28" xfId="0" applyFont="1" applyFill="1" applyBorder="1" applyAlignment="1"/>
    <xf numFmtId="40" fontId="90" fillId="37" borderId="28" xfId="0" applyNumberFormat="1" applyFont="1" applyFill="1" applyBorder="1" applyAlignment="1"/>
    <xf numFmtId="0" fontId="90" fillId="37" borderId="28" xfId="0" applyFont="1" applyFill="1" applyBorder="1" applyAlignment="1"/>
    <xf numFmtId="0" fontId="90" fillId="37" borderId="29" xfId="0" applyFont="1" applyFill="1" applyBorder="1" applyAlignment="1"/>
    <xf numFmtId="0" fontId="0" fillId="37" borderId="30" xfId="0" applyFont="1" applyFill="1" applyBorder="1" applyAlignment="1"/>
    <xf numFmtId="0" fontId="83" fillId="37" borderId="31" xfId="0" applyFont="1" applyFill="1" applyBorder="1" applyAlignment="1"/>
    <xf numFmtId="0" fontId="0" fillId="37" borderId="31" xfId="0" applyFont="1" applyFill="1" applyBorder="1" applyAlignment="1"/>
    <xf numFmtId="0" fontId="89" fillId="37" borderId="31" xfId="0" applyFont="1" applyFill="1" applyBorder="1" applyAlignment="1"/>
    <xf numFmtId="0" fontId="90" fillId="37" borderId="31" xfId="0" applyFont="1" applyFill="1" applyBorder="1" applyAlignment="1"/>
    <xf numFmtId="0" fontId="90" fillId="37" borderId="32" xfId="0" applyFont="1" applyFill="1" applyBorder="1" applyAlignment="1"/>
    <xf numFmtId="0" fontId="92" fillId="37" borderId="0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6" fillId="0" borderId="0" xfId="0" applyFont="1"/>
    <xf numFmtId="181" fontId="0" fillId="0" borderId="0" xfId="0" applyNumberFormat="1"/>
    <xf numFmtId="182" fontId="7" fillId="37" borderId="24" xfId="0" applyNumberFormat="1" applyFont="1" applyFill="1" applyBorder="1" applyAlignment="1">
      <alignment horizontal="center" vertical="center"/>
    </xf>
    <xf numFmtId="182" fontId="7" fillId="37" borderId="25" xfId="0" applyNumberFormat="1" applyFont="1" applyFill="1" applyBorder="1" applyAlignment="1">
      <alignment horizontal="center" vertical="center"/>
    </xf>
    <xf numFmtId="39" fontId="0" fillId="0" borderId="0" xfId="0" applyNumberFormat="1"/>
    <xf numFmtId="0" fontId="2" fillId="0" borderId="0" xfId="0" applyFont="1" applyAlignment="1">
      <alignment horizontal="center" vertical="center"/>
    </xf>
    <xf numFmtId="0" fontId="3" fillId="37" borderId="24" xfId="0" applyFont="1" applyFill="1" applyBorder="1" applyAlignment="1"/>
    <xf numFmtId="0" fontId="3" fillId="37" borderId="25" xfId="0" applyFont="1" applyFill="1" applyBorder="1" applyAlignment="1"/>
    <xf numFmtId="0" fontId="3" fillId="37" borderId="26" xfId="0" applyFont="1" applyFill="1" applyBorder="1" applyAlignment="1"/>
    <xf numFmtId="165" fontId="6" fillId="37" borderId="21" xfId="786" applyFont="1" applyFill="1" applyBorder="1" applyAlignment="1">
      <alignment vertical="center"/>
    </xf>
    <xf numFmtId="0" fontId="0" fillId="0" borderId="21" xfId="0" applyBorder="1"/>
    <xf numFmtId="0" fontId="1" fillId="0" borderId="21" xfId="0" applyFont="1" applyBorder="1" applyAlignment="1">
      <alignment horizontal="center" vertical="center" wrapText="1"/>
    </xf>
    <xf numFmtId="165" fontId="1" fillId="37" borderId="21" xfId="786" applyFont="1" applyFill="1" applyBorder="1" applyAlignment="1">
      <alignment horizontal="center" vertical="center"/>
    </xf>
    <xf numFmtId="0" fontId="93" fillId="0" borderId="0" xfId="0" applyFont="1" applyAlignment="1">
      <alignment horizontal="left" vertical="center"/>
    </xf>
    <xf numFmtId="169" fontId="2" fillId="0" borderId="0" xfId="0" applyNumberFormat="1" applyFont="1"/>
    <xf numFmtId="40" fontId="2" fillId="37" borderId="21" xfId="786" applyNumberFormat="1" applyFont="1" applyFill="1" applyBorder="1" applyAlignment="1">
      <alignment horizontal="right" vertical="center"/>
    </xf>
    <xf numFmtId="0" fontId="7" fillId="0" borderId="21" xfId="0" applyFont="1" applyBorder="1" applyAlignment="1">
      <alignment horizontal="center" vertical="center"/>
    </xf>
    <xf numFmtId="165" fontId="6" fillId="37" borderId="21" xfId="786" applyFont="1" applyFill="1" applyBorder="1" applyAlignment="1">
      <alignment horizontal="center" wrapText="1"/>
    </xf>
    <xf numFmtId="165" fontId="6" fillId="37" borderId="21" xfId="786" applyFont="1" applyFill="1" applyBorder="1" applyAlignment="1">
      <alignment horizontal="center" vertical="top" wrapText="1"/>
    </xf>
    <xf numFmtId="0" fontId="1" fillId="37" borderId="21" xfId="501" applyFont="1" applyFill="1" applyBorder="1" applyAlignment="1">
      <alignment vertical="center"/>
    </xf>
    <xf numFmtId="165" fontId="1" fillId="37" borderId="21" xfId="786" applyNumberFormat="1" applyFont="1" applyFill="1" applyBorder="1" applyAlignment="1">
      <alignment horizontal="center" vertical="center"/>
    </xf>
    <xf numFmtId="165" fontId="1" fillId="37" borderId="21" xfId="786" applyFont="1" applyFill="1" applyBorder="1" applyAlignment="1">
      <alignment vertical="center"/>
    </xf>
    <xf numFmtId="165" fontId="1" fillId="37" borderId="21" xfId="786" applyNumberFormat="1" applyFont="1" applyFill="1" applyBorder="1" applyAlignment="1">
      <alignment horizontal="right" vertical="center"/>
    </xf>
    <xf numFmtId="165" fontId="1" fillId="37" borderId="21" xfId="786" applyFont="1" applyFill="1" applyBorder="1" applyAlignment="1">
      <alignment horizontal="right" vertical="center"/>
    </xf>
    <xf numFmtId="0" fontId="1" fillId="37" borderId="33" xfId="0" applyFont="1" applyFill="1" applyBorder="1" applyAlignment="1">
      <alignment vertical="center" wrapText="1"/>
    </xf>
    <xf numFmtId="165" fontId="1" fillId="37" borderId="21" xfId="786" applyNumberFormat="1" applyFont="1" applyFill="1" applyBorder="1" applyAlignment="1">
      <alignment horizontal="left" vertical="center"/>
    </xf>
    <xf numFmtId="165" fontId="1" fillId="37" borderId="24" xfId="786" applyNumberFormat="1" applyFont="1" applyFill="1" applyBorder="1" applyAlignment="1">
      <alignment horizontal="center" vertical="center"/>
    </xf>
    <xf numFmtId="165" fontId="6" fillId="37" borderId="21" xfId="786" applyFont="1" applyFill="1" applyBorder="1" applyAlignment="1">
      <alignment horizontal="right" vertical="center"/>
    </xf>
    <xf numFmtId="0" fontId="1" fillId="37" borderId="21" xfId="501" applyFont="1" applyFill="1" applyBorder="1" applyAlignment="1">
      <alignment horizontal="left"/>
    </xf>
    <xf numFmtId="173" fontId="1" fillId="37" borderId="21" xfId="786" applyNumberFormat="1" applyFont="1" applyFill="1" applyBorder="1" applyAlignment="1">
      <alignment vertical="center"/>
    </xf>
    <xf numFmtId="0" fontId="6" fillId="37" borderId="21" xfId="501" applyFont="1" applyFill="1" applyBorder="1" applyAlignment="1">
      <alignment horizontal="left"/>
    </xf>
    <xf numFmtId="0" fontId="6" fillId="37" borderId="21" xfId="501" applyFont="1" applyFill="1" applyBorder="1" applyAlignment="1">
      <alignment horizontal="left" vertical="center"/>
    </xf>
    <xf numFmtId="0" fontId="0" fillId="37" borderId="21" xfId="0" applyFill="1" applyBorder="1"/>
    <xf numFmtId="0" fontId="6" fillId="37" borderId="21" xfId="0" applyFont="1" applyFill="1" applyBorder="1"/>
    <xf numFmtId="169" fontId="1" fillId="0" borderId="21" xfId="0" applyNumberFormat="1" applyFont="1" applyBorder="1" applyAlignment="1">
      <alignment vertical="center"/>
    </xf>
    <xf numFmtId="165" fontId="1" fillId="0" borderId="21" xfId="786" applyFont="1" applyBorder="1" applyAlignment="1">
      <alignment vertical="center"/>
    </xf>
    <xf numFmtId="165" fontId="1" fillId="0" borderId="2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7" fillId="0" borderId="21" xfId="413" applyFont="1" applyFill="1" applyBorder="1" applyAlignment="1">
      <alignment horizontal="center" vertical="center"/>
    </xf>
    <xf numFmtId="0" fontId="7" fillId="0" borderId="21" xfId="413" applyFont="1" applyFill="1" applyBorder="1" applyAlignment="1">
      <alignment horizontal="left" vertical="center"/>
    </xf>
    <xf numFmtId="0" fontId="7" fillId="37" borderId="21" xfId="413" applyFont="1" applyFill="1" applyBorder="1" applyAlignment="1">
      <alignment horizontal="left" vertical="center"/>
    </xf>
    <xf numFmtId="0" fontId="7" fillId="0" borderId="21" xfId="424" applyFont="1" applyFill="1" applyBorder="1" applyAlignment="1">
      <alignment horizontal="center" vertical="center"/>
    </xf>
    <xf numFmtId="174" fontId="7" fillId="0" borderId="21" xfId="496" applyNumberFormat="1" applyFont="1" applyFill="1" applyBorder="1" applyAlignment="1" applyProtection="1">
      <alignment horizontal="center" vertical="center"/>
      <protection locked="0"/>
    </xf>
    <xf numFmtId="0" fontId="11" fillId="0" borderId="21" xfId="413" applyFont="1" applyFill="1" applyBorder="1" applyAlignment="1">
      <alignment vertical="center"/>
    </xf>
    <xf numFmtId="0" fontId="7" fillId="0" borderId="21" xfId="413" applyFont="1" applyFill="1" applyBorder="1" applyAlignment="1">
      <alignment horizontal="left" vertical="center" wrapText="1"/>
    </xf>
    <xf numFmtId="0" fontId="1" fillId="37" borderId="34" xfId="0" applyNumberFormat="1" applyFont="1" applyFill="1" applyBorder="1" applyAlignment="1">
      <alignment horizontal="center" vertical="center"/>
    </xf>
    <xf numFmtId="0" fontId="8" fillId="37" borderId="35" xfId="0" applyNumberFormat="1" applyFont="1" applyFill="1" applyBorder="1" applyAlignment="1">
      <alignment horizontal="center" vertical="center"/>
    </xf>
    <xf numFmtId="0" fontId="8" fillId="37" borderId="34" xfId="0" applyNumberFormat="1" applyFont="1" applyFill="1" applyBorder="1" applyAlignment="1">
      <alignment horizontal="center" vertical="center" wrapText="1"/>
    </xf>
    <xf numFmtId="165" fontId="8" fillId="37" borderId="36" xfId="786" applyFont="1" applyFill="1" applyBorder="1" applyAlignment="1">
      <alignment horizontal="center" vertical="center"/>
    </xf>
    <xf numFmtId="165" fontId="6" fillId="37" borderId="21" xfId="786" applyFont="1" applyFill="1" applyBorder="1" applyAlignment="1">
      <alignment horizontal="center" vertical="center" wrapText="1"/>
    </xf>
    <xf numFmtId="0" fontId="83" fillId="0" borderId="105" xfId="0" applyFont="1" applyBorder="1"/>
    <xf numFmtId="0" fontId="83" fillId="0" borderId="106" xfId="0" applyFont="1" applyBorder="1"/>
    <xf numFmtId="1" fontId="83" fillId="0" borderId="107" xfId="0" applyNumberFormat="1" applyFont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vertical="center"/>
    </xf>
    <xf numFmtId="4" fontId="1" fillId="37" borderId="21" xfId="786" applyNumberFormat="1" applyFont="1" applyFill="1" applyBorder="1" applyAlignment="1">
      <alignment horizontal="center" vertical="center"/>
    </xf>
    <xf numFmtId="0" fontId="7" fillId="33" borderId="21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2" fontId="7" fillId="0" borderId="33" xfId="0" applyNumberFormat="1" applyFont="1" applyBorder="1" applyAlignment="1">
      <alignment horizontal="center" vertical="center"/>
    </xf>
    <xf numFmtId="2" fontId="7" fillId="37" borderId="37" xfId="0" applyNumberFormat="1" applyFont="1" applyFill="1" applyBorder="1" applyAlignment="1">
      <alignment horizontal="center" vertical="center"/>
    </xf>
    <xf numFmtId="2" fontId="7" fillId="37" borderId="38" xfId="0" applyNumberFormat="1" applyFont="1" applyFill="1" applyBorder="1" applyAlignment="1">
      <alignment horizontal="center" vertical="center"/>
    </xf>
    <xf numFmtId="182" fontId="7" fillId="37" borderId="26" xfId="0" applyNumberFormat="1" applyFont="1" applyFill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1" xfId="0" quotePrefix="1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0" fontId="2" fillId="0" borderId="21" xfId="786" applyNumberFormat="1" applyFont="1" applyBorder="1" applyAlignment="1">
      <alignment horizontal="center" vertical="center"/>
    </xf>
    <xf numFmtId="165" fontId="2" fillId="0" borderId="21" xfId="786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left"/>
    </xf>
    <xf numFmtId="172" fontId="1" fillId="37" borderId="21" xfId="786" applyNumberFormat="1" applyFont="1" applyFill="1" applyBorder="1" applyAlignment="1">
      <alignment horizontal="center" vertical="center"/>
    </xf>
    <xf numFmtId="1" fontId="68" fillId="0" borderId="21" xfId="645" applyNumberFormat="1" applyFont="1" applyFill="1" applyBorder="1" applyAlignment="1">
      <alignment horizontal="center"/>
    </xf>
    <xf numFmtId="170" fontId="68" fillId="0" borderId="21" xfId="645" applyNumberFormat="1" applyFont="1" applyFill="1" applyBorder="1" applyAlignment="1">
      <alignment horizontal="center"/>
    </xf>
    <xf numFmtId="2" fontId="0" fillId="0" borderId="0" xfId="0" applyNumberFormat="1"/>
    <xf numFmtId="170" fontId="0" fillId="0" borderId="0" xfId="0" applyNumberFormat="1"/>
    <xf numFmtId="171" fontId="0" fillId="0" borderId="0" xfId="0" applyNumberFormat="1"/>
    <xf numFmtId="169" fontId="0" fillId="0" borderId="0" xfId="0" applyNumberFormat="1" applyAlignment="1">
      <alignment horizontal="center"/>
    </xf>
    <xf numFmtId="180" fontId="0" fillId="0" borderId="0" xfId="0" applyNumberFormat="1"/>
    <xf numFmtId="184" fontId="2" fillId="33" borderId="21" xfId="795" applyNumberFormat="1" applyFont="1" applyFill="1" applyBorder="1" applyAlignment="1">
      <alignment horizontal="centerContinuous"/>
    </xf>
    <xf numFmtId="184" fontId="2" fillId="33" borderId="21" xfId="795" applyNumberFormat="1" applyFont="1" applyFill="1" applyBorder="1" applyAlignment="1">
      <alignment horizontal="center"/>
    </xf>
    <xf numFmtId="184" fontId="2" fillId="0" borderId="21" xfId="795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33" borderId="21" xfId="0" applyFont="1" applyFill="1" applyBorder="1" applyAlignment="1">
      <alignment vertical="center"/>
    </xf>
    <xf numFmtId="2" fontId="2" fillId="33" borderId="21" xfId="0" applyNumberFormat="1" applyFont="1" applyFill="1" applyBorder="1" applyAlignment="1">
      <alignment horizontal="center"/>
    </xf>
    <xf numFmtId="43" fontId="2" fillId="33" borderId="21" xfId="795" applyFont="1" applyFill="1" applyBorder="1" applyAlignment="1">
      <alignment horizontal="right"/>
    </xf>
    <xf numFmtId="43" fontId="2" fillId="33" borderId="21" xfId="795" applyFont="1" applyFill="1" applyBorder="1" applyAlignment="1">
      <alignment horizontal="center"/>
    </xf>
    <xf numFmtId="0" fontId="2" fillId="33" borderId="21" xfId="0" applyFont="1" applyFill="1" applyBorder="1" applyAlignment="1">
      <alignment horizontal="left"/>
    </xf>
    <xf numFmtId="40" fontId="2" fillId="33" borderId="21" xfId="0" applyNumberFormat="1" applyFont="1" applyFill="1" applyBorder="1" applyAlignment="1">
      <alignment horizontal="right"/>
    </xf>
    <xf numFmtId="40" fontId="2" fillId="33" borderId="21" xfId="0" applyNumberFormat="1" applyFont="1" applyFill="1" applyBorder="1" applyAlignment="1">
      <alignment horizontal="left"/>
    </xf>
    <xf numFmtId="40" fontId="2" fillId="33" borderId="21" xfId="0" applyNumberFormat="1" applyFont="1" applyFill="1" applyBorder="1" applyAlignment="1">
      <alignment horizontal="center"/>
    </xf>
    <xf numFmtId="40" fontId="2" fillId="33" borderId="21" xfId="0" applyNumberFormat="1" applyFont="1" applyFill="1" applyBorder="1" applyAlignment="1">
      <alignment horizontal="center" vertical="center" wrapText="1"/>
    </xf>
    <xf numFmtId="2" fontId="2" fillId="33" borderId="21" xfId="0" applyNumberFormat="1" applyFont="1" applyFill="1" applyBorder="1" applyAlignment="1">
      <alignment horizontal="right"/>
    </xf>
    <xf numFmtId="4" fontId="2" fillId="0" borderId="21" xfId="0" applyNumberFormat="1" applyFont="1" applyBorder="1" applyAlignment="1">
      <alignment horizontal="right" vertical="center"/>
    </xf>
    <xf numFmtId="165" fontId="2" fillId="0" borderId="21" xfId="786" applyFont="1" applyBorder="1" applyAlignment="1">
      <alignment horizontal="right" vertical="center"/>
    </xf>
    <xf numFmtId="4" fontId="1" fillId="0" borderId="21" xfId="0" applyNumberFormat="1" applyFont="1" applyBorder="1" applyAlignment="1">
      <alignment horizontal="center" vertical="center"/>
    </xf>
    <xf numFmtId="169" fontId="1" fillId="0" borderId="21" xfId="0" applyNumberFormat="1" applyFont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 wrapText="1"/>
    </xf>
    <xf numFmtId="0" fontId="7" fillId="37" borderId="21" xfId="0" applyFont="1" applyFill="1" applyBorder="1" applyAlignment="1">
      <alignment horizontal="center" vertical="center" wrapText="1"/>
    </xf>
    <xf numFmtId="0" fontId="1" fillId="37" borderId="21" xfId="0" applyFont="1" applyFill="1" applyBorder="1" applyAlignment="1">
      <alignment horizontal="left" vertical="center" wrapText="1"/>
    </xf>
    <xf numFmtId="165" fontId="1" fillId="0" borderId="21" xfId="786" applyFont="1" applyFill="1" applyBorder="1" applyAlignment="1">
      <alignment vertical="center"/>
    </xf>
    <xf numFmtId="165" fontId="1" fillId="0" borderId="21" xfId="786" applyNumberFormat="1" applyFont="1" applyFill="1" applyBorder="1" applyAlignment="1">
      <alignment horizontal="center" vertical="center"/>
    </xf>
    <xf numFmtId="165" fontId="1" fillId="0" borderId="21" xfId="786" applyNumberFormat="1" applyFont="1" applyFill="1" applyBorder="1" applyAlignment="1">
      <alignment horizontal="right" vertical="center"/>
    </xf>
    <xf numFmtId="165" fontId="1" fillId="0" borderId="21" xfId="786" applyFont="1" applyBorder="1" applyAlignment="1">
      <alignment horizontal="right" vertical="center"/>
    </xf>
    <xf numFmtId="165" fontId="1" fillId="0" borderId="21" xfId="786" applyFont="1" applyFill="1" applyBorder="1" applyAlignment="1">
      <alignment horizontal="center" vertical="center"/>
    </xf>
    <xf numFmtId="4" fontId="2" fillId="37" borderId="0" xfId="0" applyNumberFormat="1" applyFont="1" applyFill="1"/>
    <xf numFmtId="39" fontId="7" fillId="0" borderId="38" xfId="786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2" fillId="33" borderId="21" xfId="0" applyNumberFormat="1" applyFont="1" applyFill="1" applyBorder="1" applyAlignment="1">
      <alignment horizontal="center" vertical="center"/>
    </xf>
    <xf numFmtId="169" fontId="2" fillId="0" borderId="21" xfId="0" applyNumberFormat="1" applyFont="1" applyBorder="1" applyAlignment="1">
      <alignment horizontal="center" vertical="center"/>
    </xf>
    <xf numFmtId="2" fontId="68" fillId="0" borderId="21" xfId="645" applyNumberFormat="1" applyFont="1" applyFill="1" applyBorder="1" applyAlignment="1">
      <alignment horizontal="right"/>
    </xf>
    <xf numFmtId="3" fontId="65" fillId="37" borderId="25" xfId="0" applyNumberFormat="1" applyFont="1" applyFill="1" applyBorder="1" applyAlignment="1">
      <alignment vertical="center"/>
    </xf>
    <xf numFmtId="169" fontId="83" fillId="37" borderId="21" xfId="355" applyNumberFormat="1" applyFont="1" applyFill="1" applyBorder="1" applyAlignment="1">
      <alignment vertical="center"/>
    </xf>
    <xf numFmtId="169" fontId="67" fillId="0" borderId="21" xfId="0" applyNumberFormat="1" applyFont="1" applyBorder="1" applyAlignment="1">
      <alignment horizontal="center" vertical="center"/>
    </xf>
    <xf numFmtId="169" fontId="83" fillId="0" borderId="21" xfId="355" applyNumberFormat="1" applyFont="1" applyBorder="1" applyAlignment="1">
      <alignment horizontal="center" vertical="center"/>
    </xf>
    <xf numFmtId="167" fontId="8" fillId="37" borderId="34" xfId="288" applyFont="1" applyFill="1" applyBorder="1" applyAlignment="1">
      <alignment horizontal="center" vertical="center"/>
    </xf>
    <xf numFmtId="170" fontId="2" fillId="0" borderId="21" xfId="645" applyNumberFormat="1" applyFont="1" applyFill="1" applyBorder="1" applyAlignment="1">
      <alignment horizontal="center" vertical="center"/>
    </xf>
    <xf numFmtId="169" fontId="7" fillId="0" borderId="21" xfId="413" applyNumberFormat="1" applyFont="1" applyFill="1" applyBorder="1" applyAlignment="1">
      <alignment horizontal="right" vertical="center"/>
    </xf>
    <xf numFmtId="169" fontId="7" fillId="0" borderId="21" xfId="0" applyNumberFormat="1" applyFont="1" applyBorder="1" applyAlignment="1">
      <alignment horizontal="right" vertical="center"/>
    </xf>
    <xf numFmtId="169" fontId="9" fillId="0" borderId="21" xfId="0" applyNumberFormat="1" applyFont="1" applyBorder="1" applyAlignment="1">
      <alignment horizontal="right" vertical="center"/>
    </xf>
    <xf numFmtId="0" fontId="7" fillId="0" borderId="21" xfId="0" quotePrefix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2" fillId="37" borderId="33" xfId="0" applyNumberFormat="1" applyFont="1" applyFill="1" applyBorder="1" applyAlignment="1">
      <alignment horizontal="left"/>
    </xf>
    <xf numFmtId="3" fontId="3" fillId="37" borderId="33" xfId="0" applyNumberFormat="1" applyFont="1" applyFill="1" applyBorder="1" applyAlignment="1">
      <alignment horizontal="center" vertical="center" wrapText="1"/>
    </xf>
    <xf numFmtId="0" fontId="1" fillId="37" borderId="26" xfId="501" applyFont="1" applyFill="1" applyBorder="1" applyAlignment="1">
      <alignment vertical="center"/>
    </xf>
    <xf numFmtId="0" fontId="1" fillId="0" borderId="26" xfId="501" applyFont="1" applyFill="1" applyBorder="1" applyAlignment="1">
      <alignment vertical="center"/>
    </xf>
    <xf numFmtId="4" fontId="6" fillId="37" borderId="40" xfId="0" applyNumberFormat="1" applyFont="1" applyFill="1" applyBorder="1" applyAlignment="1">
      <alignment horizontal="right" vertical="center"/>
    </xf>
    <xf numFmtId="0" fontId="0" fillId="37" borderId="0" xfId="0" applyFill="1"/>
    <xf numFmtId="0" fontId="6" fillId="37" borderId="21" xfId="0" applyFont="1" applyFill="1" applyBorder="1" applyAlignment="1">
      <alignment vertical="center"/>
    </xf>
    <xf numFmtId="0" fontId="5" fillId="33" borderId="21" xfId="0" applyFont="1" applyFill="1" applyBorder="1" applyAlignment="1">
      <alignment horizontal="center"/>
    </xf>
    <xf numFmtId="0" fontId="2" fillId="37" borderId="41" xfId="0" applyFont="1" applyFill="1" applyBorder="1" applyAlignment="1">
      <alignment horizontal="center" vertical="center"/>
    </xf>
    <xf numFmtId="0" fontId="5" fillId="33" borderId="21" xfId="0" applyFont="1" applyFill="1" applyBorder="1" applyAlignment="1">
      <alignment horizontal="left"/>
    </xf>
    <xf numFmtId="4" fontId="1" fillId="37" borderId="24" xfId="786" applyNumberFormat="1" applyFont="1" applyFill="1" applyBorder="1" applyAlignment="1">
      <alignment horizontal="right" vertical="center"/>
    </xf>
    <xf numFmtId="165" fontId="1" fillId="37" borderId="24" xfId="786" applyFont="1" applyFill="1" applyBorder="1" applyAlignment="1">
      <alignment horizontal="right"/>
    </xf>
    <xf numFmtId="165" fontId="1" fillId="37" borderId="24" xfId="501" applyNumberFormat="1" applyFont="1" applyFill="1" applyBorder="1" applyAlignment="1">
      <alignment horizontal="right"/>
    </xf>
    <xf numFmtId="4" fontId="1" fillId="37" borderId="24" xfId="501" applyNumberFormat="1" applyFont="1" applyFill="1" applyBorder="1" applyAlignment="1">
      <alignment horizontal="right"/>
    </xf>
    <xf numFmtId="165" fontId="1" fillId="37" borderId="24" xfId="501" applyNumberFormat="1" applyFont="1" applyFill="1" applyBorder="1" applyAlignment="1">
      <alignment horizontal="center"/>
    </xf>
    <xf numFmtId="0" fontId="83" fillId="0" borderId="105" xfId="0" applyFont="1" applyBorder="1"/>
    <xf numFmtId="0" fontId="83" fillId="0" borderId="106" xfId="0" applyFont="1" applyBorder="1"/>
    <xf numFmtId="1" fontId="83" fillId="0" borderId="107" xfId="0" applyNumberFormat="1" applyFont="1" applyBorder="1" applyAlignment="1">
      <alignment horizontal="left"/>
    </xf>
    <xf numFmtId="169" fontId="71" fillId="0" borderId="0" xfId="0" applyNumberFormat="1" applyFont="1"/>
    <xf numFmtId="165" fontId="0" fillId="0" borderId="0" xfId="0" applyNumberFormat="1"/>
    <xf numFmtId="3" fontId="3" fillId="0" borderId="33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vertical="center" wrapText="1"/>
    </xf>
    <xf numFmtId="0" fontId="1" fillId="0" borderId="21" xfId="424" applyFont="1" applyFill="1" applyBorder="1" applyAlignment="1">
      <alignment horizontal="left" vertical="center" wrapText="1"/>
    </xf>
    <xf numFmtId="0" fontId="1" fillId="0" borderId="21" xfId="413" applyFont="1" applyFill="1" applyBorder="1" applyAlignment="1">
      <alignment horizontal="center" vertical="center"/>
    </xf>
    <xf numFmtId="0" fontId="1" fillId="0" borderId="21" xfId="499" applyFont="1" applyFill="1" applyBorder="1" applyAlignment="1">
      <alignment horizontal="left"/>
    </xf>
    <xf numFmtId="3" fontId="1" fillId="0" borderId="21" xfId="0" applyNumberFormat="1" applyFont="1" applyBorder="1" applyAlignment="1">
      <alignment horizontal="center" vertical="center" wrapText="1"/>
    </xf>
    <xf numFmtId="0" fontId="2" fillId="37" borderId="21" xfId="0" applyFont="1" applyFill="1" applyBorder="1" applyAlignment="1">
      <alignment horizontal="center" vertical="center"/>
    </xf>
    <xf numFmtId="2" fontId="2" fillId="37" borderId="21" xfId="0" applyNumberFormat="1" applyFont="1" applyFill="1" applyBorder="1" applyAlignment="1">
      <alignment horizontal="center" vertical="center"/>
    </xf>
    <xf numFmtId="170" fontId="2" fillId="37" borderId="21" xfId="0" applyNumberFormat="1" applyFont="1" applyFill="1" applyBorder="1" applyAlignment="1">
      <alignment horizontal="center" vertical="center"/>
    </xf>
    <xf numFmtId="2" fontId="2" fillId="0" borderId="21" xfId="645" applyNumberFormat="1" applyFont="1" applyFill="1" applyBorder="1" applyAlignment="1">
      <alignment horizontal="center" vertical="center"/>
    </xf>
    <xf numFmtId="0" fontId="2" fillId="33" borderId="41" xfId="0" applyFont="1" applyFill="1" applyBorder="1" applyAlignment="1">
      <alignment horizontal="center"/>
    </xf>
    <xf numFmtId="0" fontId="2" fillId="33" borderId="34" xfId="0" applyFont="1" applyFill="1" applyBorder="1" applyAlignment="1">
      <alignment horizontal="center"/>
    </xf>
    <xf numFmtId="0" fontId="2" fillId="37" borderId="41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33" borderId="42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84" fontId="2" fillId="0" borderId="43" xfId="795" applyNumberFormat="1" applyFont="1" applyBorder="1" applyAlignment="1">
      <alignment horizontal="center" vertical="center"/>
    </xf>
    <xf numFmtId="170" fontId="2" fillId="0" borderId="43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3" fontId="5" fillId="37" borderId="24" xfId="0" applyNumberFormat="1" applyFont="1" applyFill="1" applyBorder="1" applyAlignment="1"/>
    <xf numFmtId="3" fontId="5" fillId="37" borderId="25" xfId="0" applyNumberFormat="1" applyFont="1" applyFill="1" applyBorder="1" applyAlignment="1"/>
    <xf numFmtId="3" fontId="5" fillId="37" borderId="26" xfId="0" applyNumberFormat="1" applyFont="1" applyFill="1" applyBorder="1" applyAlignment="1"/>
    <xf numFmtId="3" fontId="62" fillId="37" borderId="24" xfId="0" applyNumberFormat="1" applyFont="1" applyFill="1" applyBorder="1" applyAlignment="1">
      <alignment vertical="center"/>
    </xf>
    <xf numFmtId="3" fontId="65" fillId="37" borderId="26" xfId="0" applyNumberFormat="1" applyFont="1" applyFill="1" applyBorder="1" applyAlignment="1">
      <alignment vertical="center"/>
    </xf>
    <xf numFmtId="0" fontId="0" fillId="0" borderId="21" xfId="0" applyFont="1" applyFill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left"/>
    </xf>
    <xf numFmtId="165" fontId="3" fillId="0" borderId="21" xfId="786" applyFont="1" applyBorder="1" applyAlignment="1">
      <alignment horizontal="right" vertical="center"/>
    </xf>
    <xf numFmtId="172" fontId="3" fillId="0" borderId="21" xfId="786" applyNumberFormat="1" applyFont="1" applyBorder="1" applyAlignment="1">
      <alignment horizontal="right" vertical="center"/>
    </xf>
    <xf numFmtId="4" fontId="0" fillId="0" borderId="0" xfId="0" applyNumberFormat="1" applyAlignment="1">
      <alignment horizontal="center"/>
    </xf>
    <xf numFmtId="0" fontId="8" fillId="37" borderId="44" xfId="0" applyNumberFormat="1" applyFont="1" applyFill="1" applyBorder="1" applyAlignment="1">
      <alignment vertical="center"/>
    </xf>
    <xf numFmtId="0" fontId="8" fillId="37" borderId="45" xfId="0" applyNumberFormat="1" applyFont="1" applyFill="1" applyBorder="1" applyAlignment="1">
      <alignment vertical="center"/>
    </xf>
    <xf numFmtId="0" fontId="8" fillId="37" borderId="46" xfId="0" applyNumberFormat="1" applyFont="1" applyFill="1" applyBorder="1" applyAlignment="1">
      <alignment vertical="center"/>
    </xf>
    <xf numFmtId="44" fontId="6" fillId="0" borderId="21" xfId="291" applyFont="1" applyBorder="1" applyAlignment="1">
      <alignment vertical="center"/>
    </xf>
    <xf numFmtId="0" fontId="4" fillId="37" borderId="0" xfId="0" applyFont="1" applyFill="1"/>
    <xf numFmtId="0" fontId="2" fillId="37" borderId="0" xfId="0" applyFont="1" applyFill="1"/>
    <xf numFmtId="0" fontId="11" fillId="37" borderId="41" xfId="0" applyFont="1" applyFill="1" applyBorder="1" applyAlignment="1">
      <alignment vertical="center"/>
    </xf>
    <xf numFmtId="0" fontId="11" fillId="37" borderId="21" xfId="413" applyFont="1" applyFill="1" applyBorder="1" applyAlignment="1">
      <alignment horizontal="center" vertical="center"/>
    </xf>
    <xf numFmtId="0" fontId="11" fillId="37" borderId="21" xfId="413" applyFont="1" applyFill="1" applyBorder="1" applyAlignment="1">
      <alignment horizontal="left" vertical="center"/>
    </xf>
    <xf numFmtId="0" fontId="11" fillId="37" borderId="34" xfId="0" applyFont="1" applyFill="1" applyBorder="1" applyAlignment="1">
      <alignment horizontal="center" vertical="center"/>
    </xf>
    <xf numFmtId="0" fontId="2" fillId="37" borderId="0" xfId="0" applyFont="1" applyFill="1" applyBorder="1" applyAlignment="1">
      <alignment vertical="center"/>
    </xf>
    <xf numFmtId="0" fontId="7" fillId="37" borderId="21" xfId="0" applyFont="1" applyFill="1" applyBorder="1" applyAlignment="1">
      <alignment horizontal="center" vertical="center"/>
    </xf>
    <xf numFmtId="169" fontId="7" fillId="37" borderId="21" xfId="0" applyNumberFormat="1" applyFont="1" applyFill="1" applyBorder="1" applyAlignment="1">
      <alignment horizontal="center" vertical="center"/>
    </xf>
    <xf numFmtId="4" fontId="7" fillId="37" borderId="34" xfId="0" applyNumberFormat="1" applyFont="1" applyFill="1" applyBorder="1" applyAlignment="1">
      <alignment horizontal="right"/>
    </xf>
    <xf numFmtId="0" fontId="7" fillId="37" borderId="41" xfId="0" applyFont="1" applyFill="1" applyBorder="1" applyAlignment="1">
      <alignment horizontal="center" vertical="center"/>
    </xf>
    <xf numFmtId="0" fontId="7" fillId="37" borderId="21" xfId="0" applyFont="1" applyFill="1" applyBorder="1" applyAlignment="1">
      <alignment horizontal="left" vertical="center"/>
    </xf>
    <xf numFmtId="4" fontId="11" fillId="37" borderId="34" xfId="0" applyNumberFormat="1" applyFont="1" applyFill="1" applyBorder="1" applyAlignment="1">
      <alignment horizontal="right"/>
    </xf>
    <xf numFmtId="0" fontId="7" fillId="37" borderId="21" xfId="0" applyFont="1" applyFill="1" applyBorder="1" applyAlignment="1">
      <alignment horizontal="left" vertical="center" wrapText="1"/>
    </xf>
    <xf numFmtId="4" fontId="11" fillId="37" borderId="34" xfId="0" applyNumberFormat="1" applyFont="1" applyFill="1" applyBorder="1" applyAlignment="1">
      <alignment horizontal="right" vertical="center"/>
    </xf>
    <xf numFmtId="185" fontId="2" fillId="37" borderId="0" xfId="581" applyNumberFormat="1" applyFont="1" applyFill="1"/>
    <xf numFmtId="0" fontId="7" fillId="37" borderId="21" xfId="413" applyFont="1" applyFill="1" applyBorder="1" applyAlignment="1">
      <alignment horizontal="center" vertical="center"/>
    </xf>
    <xf numFmtId="0" fontId="7" fillId="37" borderId="21" xfId="413" applyFont="1" applyFill="1" applyBorder="1" applyAlignment="1">
      <alignment horizontal="left" vertical="center" wrapText="1"/>
    </xf>
    <xf numFmtId="0" fontId="80" fillId="37" borderId="21" xfId="277" applyFill="1" applyBorder="1" applyAlignment="1" applyProtection="1">
      <alignment vertical="center" wrapText="1"/>
    </xf>
    <xf numFmtId="0" fontId="1" fillId="37" borderId="21" xfId="0" applyFont="1" applyFill="1" applyBorder="1" applyAlignment="1">
      <alignment vertical="center" wrapText="1"/>
    </xf>
    <xf numFmtId="4" fontId="7" fillId="37" borderId="34" xfId="0" applyNumberFormat="1" applyFont="1" applyFill="1" applyBorder="1" applyAlignment="1">
      <alignment horizontal="right" vertical="center"/>
    </xf>
    <xf numFmtId="0" fontId="2" fillId="37" borderId="0" xfId="0" applyFont="1" applyFill="1" applyBorder="1"/>
    <xf numFmtId="0" fontId="3" fillId="37" borderId="0" xfId="0" applyFont="1" applyFill="1"/>
    <xf numFmtId="0" fontId="7" fillId="37" borderId="26" xfId="0" applyFont="1" applyFill="1" applyBorder="1" applyAlignment="1">
      <alignment horizontal="left" vertical="center" wrapText="1"/>
    </xf>
    <xf numFmtId="3" fontId="3" fillId="0" borderId="37" xfId="0" applyNumberFormat="1" applyFont="1" applyBorder="1" applyAlignment="1">
      <alignment vertical="center" wrapText="1"/>
    </xf>
    <xf numFmtId="165" fontId="1" fillId="37" borderId="37" xfId="786" applyFont="1" applyFill="1" applyBorder="1" applyAlignment="1">
      <alignment horizontal="center" vertical="center"/>
    </xf>
    <xf numFmtId="4" fontId="1" fillId="37" borderId="37" xfId="786" applyNumberFormat="1" applyFont="1" applyFill="1" applyBorder="1" applyAlignment="1">
      <alignment horizontal="center" vertical="center"/>
    </xf>
    <xf numFmtId="172" fontId="1" fillId="37" borderId="37" xfId="786" applyNumberFormat="1" applyFont="1" applyFill="1" applyBorder="1" applyAlignment="1">
      <alignment horizontal="center" vertical="center"/>
    </xf>
    <xf numFmtId="0" fontId="1" fillId="37" borderId="47" xfId="501" applyFont="1" applyFill="1" applyBorder="1" applyAlignment="1">
      <alignment vertical="center"/>
    </xf>
    <xf numFmtId="1" fontId="68" fillId="0" borderId="38" xfId="645" applyNumberFormat="1" applyFont="1" applyFill="1" applyBorder="1" applyAlignment="1">
      <alignment horizontal="center"/>
    </xf>
    <xf numFmtId="165" fontId="1" fillId="37" borderId="38" xfId="786" applyNumberFormat="1" applyFont="1" applyFill="1" applyBorder="1" applyAlignment="1">
      <alignment horizontal="center" vertical="center"/>
    </xf>
    <xf numFmtId="170" fontId="68" fillId="0" borderId="38" xfId="645" applyNumberFormat="1" applyFont="1" applyFill="1" applyBorder="1" applyAlignment="1">
      <alignment horizontal="center"/>
    </xf>
    <xf numFmtId="165" fontId="1" fillId="37" borderId="38" xfId="786" applyFont="1" applyFill="1" applyBorder="1" applyAlignment="1">
      <alignment horizontal="center" vertical="center"/>
    </xf>
    <xf numFmtId="3" fontId="3" fillId="37" borderId="21" xfId="0" applyNumberFormat="1" applyFont="1" applyFill="1" applyBorder="1" applyAlignment="1">
      <alignment horizontal="center" vertical="center" wrapText="1"/>
    </xf>
    <xf numFmtId="3" fontId="3" fillId="0" borderId="21" xfId="0" applyNumberFormat="1" applyFont="1" applyBorder="1" applyAlignment="1">
      <alignment vertical="center" wrapText="1"/>
    </xf>
    <xf numFmtId="0" fontId="7" fillId="37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center"/>
    </xf>
    <xf numFmtId="0" fontId="7" fillId="33" borderId="21" xfId="496" applyNumberFormat="1" applyFont="1" applyFill="1" applyBorder="1" applyAlignment="1" applyProtection="1">
      <alignment horizontal="center" vertical="center"/>
      <protection locked="0"/>
    </xf>
    <xf numFmtId="183" fontId="7" fillId="33" borderId="21" xfId="789" applyNumberFormat="1" applyFont="1" applyFill="1" applyBorder="1" applyAlignment="1" applyProtection="1">
      <alignment horizontal="center" vertical="center"/>
      <protection locked="0"/>
    </xf>
    <xf numFmtId="0" fontId="7" fillId="33" borderId="21" xfId="496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/>
    </xf>
    <xf numFmtId="169" fontId="0" fillId="0" borderId="21" xfId="0" applyNumberFormat="1" applyBorder="1" applyAlignment="1">
      <alignment horizontal="center"/>
    </xf>
    <xf numFmtId="176" fontId="7" fillId="37" borderId="21" xfId="0" applyNumberFormat="1" applyFont="1" applyFill="1" applyBorder="1" applyAlignment="1">
      <alignment horizontal="center" vertical="center"/>
    </xf>
    <xf numFmtId="0" fontId="7" fillId="37" borderId="48" xfId="0" applyFont="1" applyFill="1" applyBorder="1" applyAlignment="1">
      <alignment horizontal="center" vertical="center"/>
    </xf>
    <xf numFmtId="0" fontId="7" fillId="37" borderId="37" xfId="0" applyFont="1" applyFill="1" applyBorder="1" applyAlignment="1">
      <alignment horizontal="center" vertical="center"/>
    </xf>
    <xf numFmtId="0" fontId="7" fillId="37" borderId="49" xfId="0" applyFont="1" applyFill="1" applyBorder="1" applyAlignment="1">
      <alignment horizontal="left" vertical="center" wrapText="1"/>
    </xf>
    <xf numFmtId="169" fontId="7" fillId="37" borderId="37" xfId="0" applyNumberFormat="1" applyFont="1" applyFill="1" applyBorder="1" applyAlignment="1">
      <alignment horizontal="center" vertical="center"/>
    </xf>
    <xf numFmtId="4" fontId="11" fillId="37" borderId="50" xfId="0" applyNumberFormat="1" applyFont="1" applyFill="1" applyBorder="1" applyAlignment="1">
      <alignment horizontal="right" vertical="center"/>
    </xf>
    <xf numFmtId="0" fontId="7" fillId="37" borderId="21" xfId="0" applyFont="1" applyFill="1" applyBorder="1" applyAlignment="1">
      <alignment horizontal="left" vertical="center" wrapText="1"/>
    </xf>
    <xf numFmtId="186" fontId="1" fillId="0" borderId="21" xfId="0" applyNumberFormat="1" applyFont="1" applyBorder="1" applyAlignment="1">
      <alignment horizontal="center" vertical="center"/>
    </xf>
    <xf numFmtId="0" fontId="79" fillId="0" borderId="0" xfId="355"/>
    <xf numFmtId="0" fontId="94" fillId="37" borderId="22" xfId="355" applyFont="1" applyFill="1" applyBorder="1" applyAlignment="1">
      <alignment horizontal="center"/>
    </xf>
    <xf numFmtId="0" fontId="94" fillId="37" borderId="0" xfId="355" applyFont="1" applyFill="1" applyAlignment="1">
      <alignment horizontal="center"/>
    </xf>
    <xf numFmtId="0" fontId="94" fillId="37" borderId="27" xfId="355" applyFont="1" applyFill="1" applyBorder="1" applyAlignment="1">
      <alignment horizontal="center"/>
    </xf>
    <xf numFmtId="0" fontId="94" fillId="37" borderId="22" xfId="355" applyFont="1" applyFill="1" applyBorder="1" applyAlignment="1">
      <alignment horizontal="left" vertical="center"/>
    </xf>
    <xf numFmtId="0" fontId="94" fillId="37" borderId="0" xfId="355" applyFont="1" applyFill="1" applyAlignment="1">
      <alignment horizontal="left" vertical="center"/>
    </xf>
    <xf numFmtId="0" fontId="11" fillId="39" borderId="21" xfId="355" applyFont="1" applyFill="1" applyBorder="1" applyAlignment="1">
      <alignment vertical="center"/>
    </xf>
    <xf numFmtId="0" fontId="11" fillId="39" borderId="34" xfId="355" applyFont="1" applyFill="1" applyBorder="1" applyAlignment="1">
      <alignment vertical="center"/>
    </xf>
    <xf numFmtId="0" fontId="11" fillId="39" borderId="51" xfId="355" applyFont="1" applyFill="1" applyBorder="1" applyAlignment="1">
      <alignment vertical="center"/>
    </xf>
    <xf numFmtId="0" fontId="11" fillId="39" borderId="52" xfId="355" applyFont="1" applyFill="1" applyBorder="1" applyAlignment="1">
      <alignment vertical="center"/>
    </xf>
    <xf numFmtId="0" fontId="11" fillId="39" borderId="53" xfId="355" applyFont="1" applyFill="1" applyBorder="1" applyAlignment="1">
      <alignment vertical="center"/>
    </xf>
    <xf numFmtId="0" fontId="11" fillId="39" borderId="54" xfId="355" applyFont="1" applyFill="1" applyBorder="1" applyAlignment="1">
      <alignment vertical="center"/>
    </xf>
    <xf numFmtId="0" fontId="11" fillId="39" borderId="21" xfId="355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 wrapText="1"/>
    </xf>
    <xf numFmtId="0" fontId="11" fillId="39" borderId="37" xfId="355" applyFont="1" applyFill="1" applyBorder="1" applyAlignment="1">
      <alignment horizontal="center" vertical="center" wrapText="1"/>
    </xf>
    <xf numFmtId="0" fontId="11" fillId="39" borderId="46" xfId="355" applyFont="1" applyFill="1" applyBorder="1" applyAlignment="1">
      <alignment vertical="center"/>
    </xf>
    <xf numFmtId="17" fontId="11" fillId="39" borderId="21" xfId="355" applyNumberFormat="1" applyFont="1" applyFill="1" applyBorder="1" applyAlignment="1">
      <alignment horizontal="center" vertical="center"/>
    </xf>
    <xf numFmtId="0" fontId="11" fillId="39" borderId="38" xfId="355" applyFont="1" applyFill="1" applyBorder="1" applyAlignment="1">
      <alignment horizontal="center" vertical="center" wrapText="1"/>
    </xf>
    <xf numFmtId="0" fontId="95" fillId="0" borderId="41" xfId="355" applyFont="1" applyBorder="1"/>
    <xf numFmtId="0" fontId="95" fillId="0" borderId="21" xfId="355" applyFont="1" applyBorder="1"/>
    <xf numFmtId="170" fontId="95" fillId="0" borderId="21" xfId="355" applyNumberFormat="1" applyFont="1" applyBorder="1"/>
    <xf numFmtId="0" fontId="95" fillId="0" borderId="34" xfId="355" applyFont="1" applyBorder="1"/>
    <xf numFmtId="0" fontId="95" fillId="0" borderId="55" xfId="355" applyFont="1" applyBorder="1"/>
    <xf numFmtId="0" fontId="95" fillId="0" borderId="56" xfId="355" applyFont="1" applyBorder="1"/>
    <xf numFmtId="170" fontId="95" fillId="0" borderId="57" xfId="355" applyNumberFormat="1" applyFont="1" applyBorder="1"/>
    <xf numFmtId="0" fontId="95" fillId="0" borderId="58" xfId="355" applyFont="1" applyBorder="1"/>
    <xf numFmtId="0" fontId="95" fillId="0" borderId="41" xfId="355" applyFont="1" applyBorder="1" applyAlignment="1">
      <alignment horizontal="left" vertical="center"/>
    </xf>
    <xf numFmtId="0" fontId="95" fillId="0" borderId="21" xfId="355" applyFont="1" applyBorder="1" applyAlignment="1">
      <alignment horizontal="center"/>
    </xf>
    <xf numFmtId="170" fontId="95" fillId="0" borderId="59" xfId="355" applyNumberFormat="1" applyFont="1" applyBorder="1"/>
    <xf numFmtId="171" fontId="95" fillId="0" borderId="21" xfId="355" applyNumberFormat="1" applyFont="1" applyBorder="1"/>
    <xf numFmtId="187" fontId="95" fillId="0" borderId="34" xfId="355" applyNumberFormat="1" applyFont="1" applyBorder="1"/>
    <xf numFmtId="0" fontId="95" fillId="0" borderId="60" xfId="355" applyFont="1" applyBorder="1" applyAlignment="1">
      <alignment horizontal="left" vertical="center"/>
    </xf>
    <xf numFmtId="0" fontId="95" fillId="0" borderId="57" xfId="355" applyFont="1" applyBorder="1" applyAlignment="1">
      <alignment horizontal="center"/>
    </xf>
    <xf numFmtId="165" fontId="95" fillId="0" borderId="57" xfId="789" applyFont="1" applyBorder="1"/>
    <xf numFmtId="171" fontId="95" fillId="0" borderId="57" xfId="355" applyNumberFormat="1" applyFont="1" applyBorder="1"/>
    <xf numFmtId="187" fontId="95" fillId="0" borderId="61" xfId="355" applyNumberFormat="1" applyFont="1" applyBorder="1"/>
    <xf numFmtId="187" fontId="95" fillId="0" borderId="34" xfId="355" applyNumberFormat="1" applyFont="1" applyBorder="1" applyAlignment="1">
      <alignment horizontal="right"/>
    </xf>
    <xf numFmtId="170" fontId="95" fillId="0" borderId="62" xfId="355" applyNumberFormat="1" applyFont="1" applyBorder="1"/>
    <xf numFmtId="187" fontId="95" fillId="0" borderId="63" xfId="355" applyNumberFormat="1" applyFont="1" applyBorder="1" applyAlignment="1">
      <alignment horizontal="right"/>
    </xf>
    <xf numFmtId="170" fontId="95" fillId="0" borderId="64" xfId="355" applyNumberFormat="1" applyFont="1" applyBorder="1"/>
    <xf numFmtId="171" fontId="95" fillId="0" borderId="65" xfId="355" applyNumberFormat="1" applyFont="1" applyBorder="1"/>
    <xf numFmtId="170" fontId="95" fillId="0" borderId="26" xfId="355" applyNumberFormat="1" applyFont="1" applyBorder="1"/>
    <xf numFmtId="170" fontId="95" fillId="0" borderId="34" xfId="355" applyNumberFormat="1" applyFont="1" applyBorder="1"/>
    <xf numFmtId="170" fontId="95" fillId="0" borderId="65" xfId="355" applyNumberFormat="1" applyFont="1" applyBorder="1"/>
    <xf numFmtId="170" fontId="95" fillId="0" borderId="63" xfId="355" applyNumberFormat="1" applyFont="1" applyBorder="1"/>
    <xf numFmtId="0" fontId="94" fillId="0" borderId="41" xfId="355" applyFont="1" applyBorder="1" applyAlignment="1">
      <alignment horizontal="left" vertical="center"/>
    </xf>
    <xf numFmtId="0" fontId="95" fillId="0" borderId="21" xfId="355" applyFont="1" applyBorder="1" applyAlignment="1">
      <alignment horizontal="center" vertical="center"/>
    </xf>
    <xf numFmtId="170" fontId="95" fillId="0" borderId="21" xfId="355" applyNumberFormat="1" applyFont="1" applyBorder="1" applyAlignment="1">
      <alignment horizontal="center" vertical="center"/>
    </xf>
    <xf numFmtId="170" fontId="95" fillId="0" borderId="26" xfId="355" applyNumberFormat="1" applyFont="1" applyBorder="1" applyAlignment="1">
      <alignment horizontal="center" vertical="center"/>
    </xf>
    <xf numFmtId="170" fontId="95" fillId="0" borderId="34" xfId="355" applyNumberFormat="1" applyFont="1" applyBorder="1" applyAlignment="1">
      <alignment horizontal="center" vertical="center"/>
    </xf>
    <xf numFmtId="0" fontId="94" fillId="0" borderId="60" xfId="355" applyFont="1" applyBorder="1" applyAlignment="1">
      <alignment horizontal="left" vertical="center"/>
    </xf>
    <xf numFmtId="0" fontId="95" fillId="0" borderId="57" xfId="355" applyFont="1" applyBorder="1" applyAlignment="1">
      <alignment horizontal="center" vertical="center"/>
    </xf>
    <xf numFmtId="170" fontId="95" fillId="0" borderId="57" xfId="355" applyNumberFormat="1" applyFont="1" applyBorder="1" applyAlignment="1">
      <alignment horizontal="center" vertical="center"/>
    </xf>
    <xf numFmtId="170" fontId="95" fillId="0" borderId="64" xfId="355" applyNumberFormat="1" applyFont="1" applyBorder="1" applyAlignment="1">
      <alignment horizontal="center" vertical="center"/>
    </xf>
    <xf numFmtId="17" fontId="11" fillId="39" borderId="43" xfId="355" applyNumberFormat="1" applyFont="1" applyFill="1" applyBorder="1" applyAlignment="1">
      <alignment horizontal="center" vertical="center"/>
    </xf>
    <xf numFmtId="17" fontId="11" fillId="39" borderId="40" xfId="355" applyNumberFormat="1" applyFont="1" applyFill="1" applyBorder="1" applyAlignment="1">
      <alignment horizontal="center" vertical="center"/>
    </xf>
    <xf numFmtId="170" fontId="95" fillId="0" borderId="65" xfId="355" applyNumberFormat="1" applyFont="1" applyBorder="1" applyAlignment="1">
      <alignment horizontal="center" vertical="center"/>
    </xf>
    <xf numFmtId="170" fontId="95" fillId="0" borderId="63" xfId="355" applyNumberFormat="1" applyFont="1" applyBorder="1" applyAlignment="1">
      <alignment horizontal="center" vertical="center"/>
    </xf>
    <xf numFmtId="165" fontId="95" fillId="0" borderId="21" xfId="789" applyFont="1" applyBorder="1" applyAlignment="1">
      <alignment horizontal="center"/>
    </xf>
    <xf numFmtId="165" fontId="95" fillId="0" borderId="57" xfId="789" applyFont="1" applyBorder="1" applyAlignment="1">
      <alignment horizontal="center"/>
    </xf>
    <xf numFmtId="170" fontId="95" fillId="0" borderId="21" xfId="355" applyNumberFormat="1" applyFont="1" applyBorder="1" applyAlignment="1">
      <alignment horizontal="right"/>
    </xf>
    <xf numFmtId="170" fontId="95" fillId="0" borderId="34" xfId="355" applyNumberFormat="1" applyFont="1" applyBorder="1" applyAlignment="1">
      <alignment horizontal="right"/>
    </xf>
    <xf numFmtId="171" fontId="95" fillId="37" borderId="57" xfId="355" applyNumberFormat="1" applyFont="1" applyFill="1" applyBorder="1"/>
    <xf numFmtId="170" fontId="95" fillId="37" borderId="64" xfId="355" applyNumberFormat="1" applyFont="1" applyFill="1" applyBorder="1" applyAlignment="1">
      <alignment horizontal="right"/>
    </xf>
    <xf numFmtId="170" fontId="95" fillId="37" borderId="63" xfId="355" applyNumberFormat="1" applyFont="1" applyFill="1" applyBorder="1" applyAlignment="1">
      <alignment horizontal="right"/>
    </xf>
    <xf numFmtId="0" fontId="95" fillId="0" borderId="60" xfId="355" applyFont="1" applyBorder="1"/>
    <xf numFmtId="0" fontId="95" fillId="0" borderId="57" xfId="355" applyFont="1" applyBorder="1"/>
    <xf numFmtId="0" fontId="95" fillId="37" borderId="57" xfId="355" applyFont="1" applyFill="1" applyBorder="1"/>
    <xf numFmtId="0" fontId="95" fillId="37" borderId="64" xfId="355" applyFont="1" applyFill="1" applyBorder="1"/>
    <xf numFmtId="0" fontId="95" fillId="37" borderId="63" xfId="355" applyFont="1" applyFill="1" applyBorder="1"/>
    <xf numFmtId="188" fontId="94" fillId="0" borderId="34" xfId="355" applyNumberFormat="1" applyFont="1" applyBorder="1"/>
    <xf numFmtId="0" fontId="95" fillId="0" borderId="28" xfId="355" applyFont="1" applyBorder="1"/>
    <xf numFmtId="188" fontId="94" fillId="0" borderId="66" xfId="355" applyNumberFormat="1" applyFont="1" applyBorder="1"/>
    <xf numFmtId="0" fontId="95" fillId="37" borderId="22" xfId="355" applyFont="1" applyFill="1" applyBorder="1"/>
    <xf numFmtId="0" fontId="95" fillId="37" borderId="0" xfId="355" applyFont="1" applyFill="1"/>
    <xf numFmtId="0" fontId="95" fillId="37" borderId="27" xfId="355" applyFont="1" applyFill="1" applyBorder="1"/>
    <xf numFmtId="0" fontId="95" fillId="37" borderId="30" xfId="355" applyFont="1" applyFill="1" applyBorder="1"/>
    <xf numFmtId="0" fontId="95" fillId="37" borderId="31" xfId="355" applyFont="1" applyFill="1" applyBorder="1"/>
    <xf numFmtId="0" fontId="95" fillId="37" borderId="32" xfId="355" applyFont="1" applyFill="1" applyBorder="1"/>
    <xf numFmtId="0" fontId="95" fillId="37" borderId="67" xfId="355" applyFont="1" applyFill="1" applyBorder="1" applyAlignment="1">
      <alignment horizontal="center" vertical="center"/>
    </xf>
    <xf numFmtId="0" fontId="95" fillId="37" borderId="41" xfId="355" applyFont="1" applyFill="1" applyBorder="1"/>
    <xf numFmtId="188" fontId="95" fillId="37" borderId="27" xfId="355" applyNumberFormat="1" applyFont="1" applyFill="1" applyBorder="1"/>
    <xf numFmtId="0" fontId="95" fillId="37" borderId="42" xfId="355" applyFont="1" applyFill="1" applyBorder="1"/>
    <xf numFmtId="0" fontId="79" fillId="37" borderId="23" xfId="355" applyFill="1" applyBorder="1"/>
    <xf numFmtId="0" fontId="79" fillId="37" borderId="28" xfId="355" applyFill="1" applyBorder="1"/>
    <xf numFmtId="0" fontId="79" fillId="37" borderId="29" xfId="355" applyFill="1" applyBorder="1"/>
    <xf numFmtId="0" fontId="94" fillId="0" borderId="60" xfId="355" applyFont="1" applyBorder="1"/>
    <xf numFmtId="0" fontId="0" fillId="0" borderId="0" xfId="0" applyAlignment="1">
      <alignment horizontal="left" vertical="top"/>
    </xf>
    <xf numFmtId="0" fontId="0" fillId="0" borderId="95" xfId="0" applyBorder="1" applyAlignment="1">
      <alignment horizontal="left" vertical="center" wrapText="1"/>
    </xf>
    <xf numFmtId="0" fontId="0" fillId="0" borderId="96" xfId="0" applyBorder="1" applyAlignment="1">
      <alignment horizontal="left" vertical="center" wrapText="1"/>
    </xf>
    <xf numFmtId="0" fontId="0" fillId="0" borderId="97" xfId="0" applyBorder="1" applyAlignment="1">
      <alignment horizontal="left" vertical="center" wrapText="1"/>
    </xf>
    <xf numFmtId="0" fontId="74" fillId="0" borderId="95" xfId="0" applyFont="1" applyBorder="1" applyAlignment="1">
      <alignment horizontal="center" vertical="top" wrapText="1"/>
    </xf>
    <xf numFmtId="0" fontId="74" fillId="0" borderId="96" xfId="0" applyFont="1" applyBorder="1" applyAlignment="1">
      <alignment horizontal="left" vertical="top" wrapText="1" indent="1"/>
    </xf>
    <xf numFmtId="0" fontId="0" fillId="0" borderId="96" xfId="0" applyBorder="1" applyAlignment="1">
      <alignment horizontal="center" vertical="top" wrapText="1"/>
    </xf>
    <xf numFmtId="0" fontId="0" fillId="0" borderId="96" xfId="0" applyBorder="1" applyAlignment="1">
      <alignment horizontal="left" vertical="top" wrapText="1" indent="2"/>
    </xf>
    <xf numFmtId="0" fontId="0" fillId="0" borderId="96" xfId="0" applyBorder="1" applyAlignment="1">
      <alignment horizontal="left" vertical="top" wrapText="1"/>
    </xf>
    <xf numFmtId="0" fontId="0" fillId="0" borderId="97" xfId="0" applyBorder="1" applyAlignment="1">
      <alignment horizontal="center" vertical="top" wrapText="1"/>
    </xf>
    <xf numFmtId="0" fontId="74" fillId="0" borderId="95" xfId="0" applyFont="1" applyBorder="1" applyAlignment="1">
      <alignment horizontal="center" vertical="center" wrapText="1"/>
    </xf>
    <xf numFmtId="0" fontId="74" fillId="0" borderId="96" xfId="0" applyFont="1" applyBorder="1" applyAlignment="1">
      <alignment horizontal="left" vertical="center" wrapText="1"/>
    </xf>
    <xf numFmtId="0" fontId="0" fillId="0" borderId="96" xfId="0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74" fillId="0" borderId="96" xfId="0" applyFont="1" applyBorder="1" applyAlignment="1">
      <alignment horizontal="center" vertical="center" wrapText="1"/>
    </xf>
    <xf numFmtId="186" fontId="96" fillId="0" borderId="96" xfId="0" applyNumberFormat="1" applyFont="1" applyBorder="1" applyAlignment="1">
      <alignment horizontal="center" vertical="center" shrinkToFit="1"/>
    </xf>
    <xf numFmtId="4" fontId="96" fillId="0" borderId="96" xfId="0" applyNumberFormat="1" applyFont="1" applyBorder="1" applyAlignment="1">
      <alignment horizontal="right" vertical="center" shrinkToFit="1"/>
    </xf>
    <xf numFmtId="10" fontId="96" fillId="0" borderId="96" xfId="0" applyNumberFormat="1" applyFont="1" applyBorder="1" applyAlignment="1">
      <alignment horizontal="right" vertical="center" shrinkToFit="1"/>
    </xf>
    <xf numFmtId="2" fontId="96" fillId="0" borderId="96" xfId="0" applyNumberFormat="1" applyFont="1" applyBorder="1" applyAlignment="1">
      <alignment horizontal="right" vertical="center" shrinkToFit="1"/>
    </xf>
    <xf numFmtId="0" fontId="74" fillId="0" borderId="96" xfId="0" applyFont="1" applyBorder="1" applyAlignment="1">
      <alignment horizontal="right" vertical="center" wrapText="1"/>
    </xf>
    <xf numFmtId="4" fontId="97" fillId="0" borderId="97" xfId="0" applyNumberFormat="1" applyFont="1" applyBorder="1" applyAlignment="1">
      <alignment horizontal="right" vertical="center" shrinkToFit="1"/>
    </xf>
    <xf numFmtId="0" fontId="74" fillId="0" borderId="96" xfId="0" applyFont="1" applyBorder="1" applyAlignment="1">
      <alignment horizontal="left" vertical="center" wrapText="1" indent="2"/>
    </xf>
    <xf numFmtId="0" fontId="74" fillId="0" borderId="96" xfId="0" applyFont="1" applyBorder="1" applyAlignment="1">
      <alignment horizontal="left" vertical="center" wrapText="1" indent="1"/>
    </xf>
    <xf numFmtId="0" fontId="74" fillId="37" borderId="95" xfId="0" applyFont="1" applyFill="1" applyBorder="1" applyAlignment="1">
      <alignment horizontal="center" vertical="center" wrapText="1"/>
    </xf>
    <xf numFmtId="0" fontId="74" fillId="37" borderId="96" xfId="0" applyFont="1" applyFill="1" applyBorder="1" applyAlignment="1">
      <alignment horizontal="left" vertical="center" wrapText="1" indent="2"/>
    </xf>
    <xf numFmtId="0" fontId="74" fillId="37" borderId="96" xfId="0" applyFont="1" applyFill="1" applyBorder="1" applyAlignment="1">
      <alignment horizontal="center" vertical="center" wrapText="1"/>
    </xf>
    <xf numFmtId="4" fontId="96" fillId="37" borderId="96" xfId="0" applyNumberFormat="1" applyFont="1" applyFill="1" applyBorder="1" applyAlignment="1">
      <alignment horizontal="right" vertical="center" shrinkToFit="1"/>
    </xf>
    <xf numFmtId="10" fontId="96" fillId="37" borderId="96" xfId="0" applyNumberFormat="1" applyFont="1" applyFill="1" applyBorder="1" applyAlignment="1">
      <alignment horizontal="right" vertical="center" shrinkToFit="1"/>
    </xf>
    <xf numFmtId="2" fontId="96" fillId="37" borderId="96" xfId="0" applyNumberFormat="1" applyFont="1" applyFill="1" applyBorder="1" applyAlignment="1">
      <alignment horizontal="right" vertical="center" shrinkToFit="1"/>
    </xf>
    <xf numFmtId="0" fontId="74" fillId="37" borderId="96" xfId="0" applyFont="1" applyFill="1" applyBorder="1" applyAlignment="1">
      <alignment horizontal="right" vertical="center" wrapText="1"/>
    </xf>
    <xf numFmtId="4" fontId="97" fillId="37" borderId="97" xfId="0" applyNumberFormat="1" applyFont="1" applyFill="1" applyBorder="1" applyAlignment="1">
      <alignment horizontal="right" vertical="center" shrinkToFit="1"/>
    </xf>
    <xf numFmtId="0" fontId="0" fillId="37" borderId="0" xfId="0" applyFill="1" applyAlignment="1">
      <alignment horizontal="left" vertical="top"/>
    </xf>
    <xf numFmtId="0" fontId="74" fillId="0" borderId="95" xfId="0" applyFont="1" applyBorder="1" applyAlignment="1">
      <alignment horizontal="center" wrapText="1"/>
    </xf>
    <xf numFmtId="0" fontId="12" fillId="37" borderId="30" xfId="0" applyFont="1" applyFill="1" applyBorder="1" applyAlignment="1">
      <alignment horizontal="left" vertical="center"/>
    </xf>
    <xf numFmtId="0" fontId="0" fillId="37" borderId="31" xfId="0" applyFill="1" applyBorder="1" applyAlignment="1">
      <alignment horizontal="left" vertical="top"/>
    </xf>
    <xf numFmtId="0" fontId="0" fillId="37" borderId="32" xfId="0" applyFill="1" applyBorder="1" applyAlignment="1">
      <alignment horizontal="left" vertical="top"/>
    </xf>
    <xf numFmtId="0" fontId="12" fillId="37" borderId="22" xfId="0" applyFont="1" applyFill="1" applyBorder="1" applyAlignment="1">
      <alignment horizontal="left" vertical="center"/>
    </xf>
    <xf numFmtId="0" fontId="0" fillId="37" borderId="27" xfId="0" applyFill="1" applyBorder="1" applyAlignment="1">
      <alignment horizontal="left" vertical="top"/>
    </xf>
    <xf numFmtId="0" fontId="12" fillId="37" borderId="23" xfId="0" applyFont="1" applyFill="1" applyBorder="1" applyAlignment="1">
      <alignment horizontal="left" vertical="center"/>
    </xf>
    <xf numFmtId="0" fontId="0" fillId="37" borderId="28" xfId="0" applyFill="1" applyBorder="1" applyAlignment="1">
      <alignment horizontal="left" vertical="top"/>
    </xf>
    <xf numFmtId="0" fontId="0" fillId="37" borderId="29" xfId="0" applyFill="1" applyBorder="1" applyAlignment="1">
      <alignment horizontal="left" vertical="top"/>
    </xf>
    <xf numFmtId="0" fontId="7" fillId="37" borderId="21" xfId="0" applyFont="1" applyFill="1" applyBorder="1" applyAlignment="1">
      <alignment horizontal="left" vertical="center" wrapText="1"/>
    </xf>
    <xf numFmtId="0" fontId="0" fillId="37" borderId="23" xfId="0" applyFill="1" applyBorder="1" applyAlignment="1">
      <alignment horizontal="left" vertical="center"/>
    </xf>
    <xf numFmtId="0" fontId="0" fillId="37" borderId="28" xfId="0" applyFill="1" applyBorder="1" applyAlignment="1">
      <alignment horizontal="left" vertical="center"/>
    </xf>
    <xf numFmtId="0" fontId="0" fillId="37" borderId="29" xfId="0" applyFill="1" applyBorder="1" applyAlignment="1">
      <alignment horizontal="left" vertical="center"/>
    </xf>
    <xf numFmtId="175" fontId="7" fillId="37" borderId="21" xfId="0" applyNumberFormat="1" applyFont="1" applyFill="1" applyBorder="1" applyAlignment="1">
      <alignment horizontal="center" vertical="center"/>
    </xf>
    <xf numFmtId="189" fontId="7" fillId="37" borderId="21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0" xfId="413" applyFont="1" applyFill="1" applyBorder="1" applyAlignment="1">
      <alignment horizontal="center" vertical="center"/>
    </xf>
    <xf numFmtId="169" fontId="7" fillId="0" borderId="21" xfId="0" applyNumberFormat="1" applyFont="1" applyFill="1" applyBorder="1" applyAlignment="1">
      <alignment horizontal="center" vertical="center"/>
    </xf>
    <xf numFmtId="4" fontId="11" fillId="0" borderId="34" xfId="0" applyNumberFormat="1" applyFont="1" applyFill="1" applyBorder="1" applyAlignment="1">
      <alignment horizontal="right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/>
    </xf>
    <xf numFmtId="0" fontId="7" fillId="37" borderId="21" xfId="0" applyFont="1" applyFill="1" applyBorder="1" applyAlignment="1">
      <alignment horizontal="left" vertical="center" wrapText="1"/>
    </xf>
    <xf numFmtId="0" fontId="1" fillId="37" borderId="21" xfId="0" applyFont="1" applyFill="1" applyBorder="1" applyAlignment="1">
      <alignment horizontal="center" vertical="center"/>
    </xf>
    <xf numFmtId="0" fontId="6" fillId="37" borderId="41" xfId="0" applyFont="1" applyFill="1" applyBorder="1" applyAlignment="1">
      <alignment horizontal="center" vertical="center"/>
    </xf>
    <xf numFmtId="0" fontId="6" fillId="37" borderId="21" xfId="0" applyFont="1" applyFill="1" applyBorder="1" applyAlignment="1">
      <alignment horizontal="center" vertical="center"/>
    </xf>
    <xf numFmtId="0" fontId="6" fillId="37" borderId="21" xfId="0" applyFont="1" applyFill="1" applyBorder="1" applyAlignment="1">
      <alignment horizontal="left" vertical="center"/>
    </xf>
    <xf numFmtId="169" fontId="1" fillId="37" borderId="21" xfId="0" applyNumberFormat="1" applyFont="1" applyFill="1" applyBorder="1" applyAlignment="1">
      <alignment horizontal="center" vertical="center"/>
    </xf>
    <xf numFmtId="4" fontId="1" fillId="37" borderId="21" xfId="0" applyNumberFormat="1" applyFont="1" applyFill="1" applyBorder="1" applyAlignment="1">
      <alignment horizontal="center" vertical="center"/>
    </xf>
    <xf numFmtId="4" fontId="1" fillId="37" borderId="34" xfId="0" applyNumberFormat="1" applyFont="1" applyFill="1" applyBorder="1" applyAlignment="1">
      <alignment horizontal="right"/>
    </xf>
    <xf numFmtId="4" fontId="6" fillId="37" borderId="34" xfId="0" applyNumberFormat="1" applyFont="1" applyFill="1" applyBorder="1" applyAlignment="1">
      <alignment horizontal="right" vertical="center"/>
    </xf>
    <xf numFmtId="4" fontId="1" fillId="37" borderId="34" xfId="0" applyNumberFormat="1" applyFont="1" applyFill="1" applyBorder="1" applyAlignment="1">
      <alignment horizontal="right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169" fontId="1" fillId="0" borderId="21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right" vertical="center"/>
    </xf>
    <xf numFmtId="0" fontId="6" fillId="37" borderId="21" xfId="0" applyFont="1" applyFill="1" applyBorder="1" applyAlignment="1">
      <alignment horizontal="left" vertical="center" wrapText="1"/>
    </xf>
    <xf numFmtId="0" fontId="1" fillId="37" borderId="41" xfId="0" applyFont="1" applyFill="1" applyBorder="1" applyAlignment="1">
      <alignment horizontal="center" vertical="center"/>
    </xf>
    <xf numFmtId="0" fontId="6" fillId="37" borderId="26" xfId="0" applyFont="1" applyFill="1" applyBorder="1" applyAlignment="1">
      <alignment horizontal="left" vertical="center" wrapText="1"/>
    </xf>
    <xf numFmtId="4" fontId="6" fillId="37" borderId="50" xfId="0" applyNumberFormat="1" applyFont="1" applyFill="1" applyBorder="1" applyAlignment="1">
      <alignment horizontal="right" vertical="center"/>
    </xf>
    <xf numFmtId="174" fontId="6" fillId="0" borderId="21" xfId="496" applyNumberFormat="1" applyFont="1" applyFill="1" applyBorder="1" applyAlignment="1" applyProtection="1">
      <alignment horizontal="left" vertical="center"/>
      <protection locked="0"/>
    </xf>
    <xf numFmtId="169" fontId="1" fillId="0" borderId="21" xfId="0" applyNumberFormat="1" applyFont="1" applyBorder="1" applyAlignment="1">
      <alignment horizontal="right" vertical="center"/>
    </xf>
    <xf numFmtId="0" fontId="6" fillId="0" borderId="21" xfId="413" applyFont="1" applyFill="1" applyBorder="1" applyAlignment="1">
      <alignment horizontal="center" vertical="center"/>
    </xf>
    <xf numFmtId="0" fontId="6" fillId="0" borderId="21" xfId="413" applyFont="1" applyFill="1" applyBorder="1" applyAlignment="1">
      <alignment horizontal="left" vertical="center"/>
    </xf>
    <xf numFmtId="169" fontId="1" fillId="0" borderId="21" xfId="413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horizontal="left" vertical="center"/>
    </xf>
    <xf numFmtId="0" fontId="6" fillId="0" borderId="21" xfId="413" applyFont="1" applyFill="1" applyBorder="1" applyAlignment="1">
      <alignment vertical="center"/>
    </xf>
    <xf numFmtId="174" fontId="6" fillId="33" borderId="21" xfId="496" applyNumberFormat="1" applyFont="1" applyFill="1" applyBorder="1" applyAlignment="1" applyProtection="1">
      <alignment horizontal="left" vertical="center"/>
      <protection locked="0"/>
    </xf>
    <xf numFmtId="183" fontId="1" fillId="33" borderId="21" xfId="789" applyNumberFormat="1" applyFont="1" applyFill="1" applyBorder="1" applyAlignment="1" applyProtection="1">
      <alignment horizontal="center" vertical="center"/>
      <protection locked="0"/>
    </xf>
    <xf numFmtId="169" fontId="1" fillId="33" borderId="21" xfId="789" applyNumberFormat="1" applyFont="1" applyFill="1" applyBorder="1" applyAlignment="1" applyProtection="1">
      <alignment horizontal="right" vertical="center"/>
      <protection locked="0"/>
    </xf>
    <xf numFmtId="0" fontId="7" fillId="0" borderId="21" xfId="424" applyFont="1" applyFill="1" applyBorder="1" applyAlignment="1">
      <alignment horizontal="left" vertical="center" wrapText="1"/>
    </xf>
    <xf numFmtId="0" fontId="7" fillId="0" borderId="21" xfId="424" quotePrefix="1" applyFont="1" applyFill="1" applyBorder="1" applyAlignment="1">
      <alignment horizontal="left" vertical="center" wrapText="1"/>
    </xf>
    <xf numFmtId="0" fontId="7" fillId="33" borderId="21" xfId="50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174" fontId="7" fillId="33" borderId="21" xfId="497" applyNumberFormat="1" applyFont="1" applyFill="1" applyBorder="1" applyAlignment="1" applyProtection="1">
      <alignment horizontal="center" vertical="center"/>
      <protection locked="0"/>
    </xf>
    <xf numFmtId="169" fontId="7" fillId="0" borderId="21" xfId="789" applyNumberFormat="1" applyFont="1" applyFill="1" applyBorder="1" applyAlignment="1" applyProtection="1">
      <alignment horizontal="right" vertical="center"/>
      <protection locked="0"/>
    </xf>
    <xf numFmtId="169" fontId="7" fillId="0" borderId="21" xfId="500" applyNumberFormat="1" applyFont="1" applyFill="1" applyBorder="1" applyAlignment="1">
      <alignment horizontal="right" vertical="center"/>
    </xf>
    <xf numFmtId="175" fontId="7" fillId="0" borderId="21" xfId="0" applyNumberFormat="1" applyFont="1" applyFill="1" applyBorder="1" applyAlignment="1">
      <alignment horizontal="center" vertical="center"/>
    </xf>
    <xf numFmtId="165" fontId="63" fillId="37" borderId="26" xfId="786" applyFont="1" applyFill="1" applyBorder="1" applyAlignment="1">
      <alignment horizontal="center" vertical="center"/>
    </xf>
    <xf numFmtId="4" fontId="63" fillId="37" borderId="26" xfId="786" applyNumberFormat="1" applyFont="1" applyFill="1" applyBorder="1" applyAlignment="1">
      <alignment vertical="center" wrapText="1"/>
    </xf>
    <xf numFmtId="0" fontId="63" fillId="37" borderId="24" xfId="786" applyNumberFormat="1" applyFont="1" applyFill="1" applyBorder="1" applyAlignment="1">
      <alignment horizontal="center" vertical="center" wrapText="1"/>
    </xf>
    <xf numFmtId="4" fontId="6" fillId="37" borderId="54" xfId="0" applyNumberFormat="1" applyFont="1" applyFill="1" applyBorder="1" applyAlignment="1">
      <alignment horizontal="center" vertical="center"/>
    </xf>
    <xf numFmtId="168" fontId="6" fillId="37" borderId="68" xfId="0" quotePrefix="1" applyNumberFormat="1" applyFont="1" applyFill="1" applyBorder="1" applyAlignment="1">
      <alignment horizontal="center" vertical="center"/>
    </xf>
    <xf numFmtId="168" fontId="6" fillId="37" borderId="69" xfId="0" quotePrefix="1" applyNumberFormat="1" applyFont="1" applyFill="1" applyBorder="1" applyAlignment="1">
      <alignment horizontal="center" vertical="center"/>
    </xf>
    <xf numFmtId="10" fontId="63" fillId="37" borderId="26" xfId="0" applyNumberFormat="1" applyFont="1" applyFill="1" applyBorder="1" applyAlignment="1">
      <alignment horizontal="center" vertical="center" wrapText="1"/>
    </xf>
    <xf numFmtId="10" fontId="6" fillId="37" borderId="26" xfId="0" applyNumberFormat="1" applyFont="1" applyFill="1" applyBorder="1" applyAlignment="1">
      <alignment horizontal="center" vertical="center" wrapText="1"/>
    </xf>
    <xf numFmtId="169" fontId="63" fillId="0" borderId="37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169" fontId="11" fillId="0" borderId="37" xfId="0" applyNumberFormat="1" applyFont="1" applyBorder="1" applyAlignment="1">
      <alignment horizontal="center" vertical="center"/>
    </xf>
    <xf numFmtId="169" fontId="11" fillId="0" borderId="38" xfId="0" applyNumberFormat="1" applyFont="1" applyBorder="1" applyAlignment="1">
      <alignment vertical="center"/>
    </xf>
    <xf numFmtId="0" fontId="11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174" fontId="6" fillId="0" borderId="38" xfId="496" applyNumberFormat="1" applyFont="1" applyFill="1" applyBorder="1" applyAlignment="1" applyProtection="1">
      <alignment horizontal="left" vertical="center"/>
      <protection locked="0"/>
    </xf>
    <xf numFmtId="169" fontId="11" fillId="0" borderId="21" xfId="0" applyNumberFormat="1" applyFont="1" applyBorder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169" fontId="3" fillId="0" borderId="43" xfId="0" applyNumberFormat="1" applyFont="1" applyBorder="1" applyAlignment="1">
      <alignment vertical="center"/>
    </xf>
    <xf numFmtId="4" fontId="3" fillId="37" borderId="43" xfId="0" applyNumberFormat="1" applyFont="1" applyFill="1" applyBorder="1" applyAlignment="1">
      <alignment vertical="center"/>
    </xf>
    <xf numFmtId="4" fontId="3" fillId="0" borderId="43" xfId="0" applyNumberFormat="1" applyFont="1" applyBorder="1" applyAlignment="1">
      <alignment vertical="center"/>
    </xf>
    <xf numFmtId="169" fontId="2" fillId="37" borderId="0" xfId="0" applyNumberFormat="1" applyFont="1" applyFill="1"/>
    <xf numFmtId="0" fontId="0" fillId="0" borderId="21" xfId="0" applyFill="1" applyBorder="1"/>
    <xf numFmtId="0" fontId="6" fillId="37" borderId="21" xfId="0" applyFont="1" applyFill="1" applyBorder="1" applyAlignment="1">
      <alignment horizontal="center" vertical="center" wrapText="1"/>
    </xf>
    <xf numFmtId="0" fontId="6" fillId="37" borderId="21" xfId="310" applyFont="1" applyFill="1" applyBorder="1" applyAlignment="1">
      <alignment horizontal="center" vertical="center" wrapText="1"/>
    </xf>
    <xf numFmtId="0" fontId="1" fillId="37" borderId="21" xfId="413" applyFont="1" applyFill="1" applyBorder="1" applyAlignment="1">
      <alignment horizontal="center" vertical="center"/>
    </xf>
    <xf numFmtId="0" fontId="6" fillId="37" borderId="21" xfId="413" applyFont="1" applyFill="1" applyBorder="1" applyAlignment="1">
      <alignment horizontal="center" vertical="center"/>
    </xf>
    <xf numFmtId="0" fontId="7" fillId="37" borderId="21" xfId="496" applyNumberFormat="1" applyFont="1" applyFill="1" applyBorder="1" applyAlignment="1" applyProtection="1">
      <alignment horizontal="center" vertical="center"/>
      <protection locked="0"/>
    </xf>
    <xf numFmtId="0" fontId="7" fillId="37" borderId="21" xfId="496" applyNumberFormat="1" applyFont="1" applyFill="1" applyBorder="1" applyAlignment="1">
      <alignment horizontal="center" vertical="center" wrapText="1"/>
    </xf>
    <xf numFmtId="0" fontId="7" fillId="37" borderId="22" xfId="0" applyFont="1" applyFill="1" applyBorder="1" applyAlignment="1">
      <alignment horizontal="center" vertical="center"/>
    </xf>
    <xf numFmtId="0" fontId="0" fillId="0" borderId="106" xfId="0" applyBorder="1" applyAlignment="1">
      <alignment horizontal="left" vertical="center" wrapText="1"/>
    </xf>
    <xf numFmtId="0" fontId="12" fillId="0" borderId="95" xfId="0" applyFont="1" applyBorder="1" applyAlignment="1">
      <alignment horizontal="center" vertical="center" wrapText="1"/>
    </xf>
    <xf numFmtId="0" fontId="94" fillId="0" borderId="41" xfId="355" applyFont="1" applyBorder="1"/>
    <xf numFmtId="0" fontId="1" fillId="0" borderId="21" xfId="413" applyFont="1" applyFill="1" applyBorder="1" applyAlignment="1">
      <alignment horizontal="left" vertical="center" wrapText="1"/>
    </xf>
    <xf numFmtId="172" fontId="3" fillId="0" borderId="21" xfId="786" applyNumberFormat="1" applyFont="1" applyBorder="1" applyAlignment="1">
      <alignment horizontal="center" vertical="center"/>
    </xf>
    <xf numFmtId="172" fontId="1" fillId="0" borderId="21" xfId="786" applyNumberFormat="1" applyFont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21" xfId="496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/>
    </xf>
    <xf numFmtId="3" fontId="2" fillId="0" borderId="71" xfId="0" applyNumberFormat="1" applyFont="1" applyBorder="1" applyAlignment="1">
      <alignment horizontal="right"/>
    </xf>
    <xf numFmtId="0" fontId="1" fillId="0" borderId="21" xfId="0" applyFont="1" applyBorder="1" applyAlignment="1">
      <alignment horizontal="left" vertical="center"/>
    </xf>
    <xf numFmtId="0" fontId="1" fillId="37" borderId="25" xfId="0" applyFont="1" applyFill="1" applyBorder="1" applyAlignment="1" applyProtection="1">
      <alignment vertical="center"/>
    </xf>
    <xf numFmtId="0" fontId="1" fillId="37" borderId="21" xfId="0" applyFont="1" applyFill="1" applyBorder="1" applyAlignment="1" applyProtection="1">
      <alignment vertical="center"/>
    </xf>
    <xf numFmtId="0" fontId="1" fillId="37" borderId="21" xfId="0" applyFont="1" applyFill="1" applyBorder="1" applyAlignment="1">
      <alignment vertical="center"/>
    </xf>
    <xf numFmtId="165" fontId="6" fillId="37" borderId="21" xfId="0" applyNumberFormat="1" applyFont="1" applyFill="1" applyBorder="1" applyAlignment="1">
      <alignment vertical="center"/>
    </xf>
    <xf numFmtId="169" fontId="1" fillId="37" borderId="21" xfId="0" applyNumberFormat="1" applyFont="1" applyFill="1" applyBorder="1" applyAlignment="1">
      <alignment horizontal="center" vertical="center" wrapText="1"/>
    </xf>
    <xf numFmtId="165" fontId="1" fillId="37" borderId="21" xfId="0" applyNumberFormat="1" applyFont="1" applyFill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</xf>
    <xf numFmtId="0" fontId="1" fillId="0" borderId="21" xfId="0" applyFont="1" applyBorder="1" applyAlignment="1">
      <alignment vertical="center" wrapText="1"/>
    </xf>
    <xf numFmtId="165" fontId="6" fillId="0" borderId="21" xfId="0" applyNumberFormat="1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21" xfId="0" applyFont="1" applyBorder="1" applyAlignment="1">
      <alignment vertical="center"/>
    </xf>
    <xf numFmtId="165" fontId="8" fillId="0" borderId="21" xfId="0" applyNumberFormat="1" applyFont="1" applyBorder="1" applyAlignment="1">
      <alignment vertical="center"/>
    </xf>
    <xf numFmtId="0" fontId="6" fillId="0" borderId="34" xfId="399" applyFont="1" applyBorder="1" applyAlignment="1">
      <alignment vertical="center"/>
    </xf>
    <xf numFmtId="9" fontId="1" fillId="0" borderId="34" xfId="413" applyNumberFormat="1" applyFont="1" applyBorder="1" applyAlignment="1">
      <alignment vertical="center"/>
    </xf>
    <xf numFmtId="0" fontId="8" fillId="37" borderId="35" xfId="0" applyNumberFormat="1" applyFont="1" applyFill="1" applyBorder="1" applyAlignment="1">
      <alignment horizontal="left" vertical="center"/>
    </xf>
    <xf numFmtId="0" fontId="8" fillId="37" borderId="25" xfId="0" applyNumberFormat="1" applyFont="1" applyFill="1" applyBorder="1" applyAlignment="1">
      <alignment horizontal="left" vertical="center"/>
    </xf>
    <xf numFmtId="0" fontId="6" fillId="37" borderId="42" xfId="0" applyFont="1" applyFill="1" applyBorder="1" applyAlignment="1">
      <alignment vertical="center"/>
    </xf>
    <xf numFmtId="0" fontId="6" fillId="37" borderId="72" xfId="496" applyFont="1" applyFill="1" applyBorder="1" applyAlignment="1">
      <alignment vertical="center"/>
    </xf>
    <xf numFmtId="0" fontId="6" fillId="37" borderId="73" xfId="496" applyFont="1" applyFill="1" applyBorder="1" applyAlignment="1">
      <alignment vertical="center"/>
    </xf>
    <xf numFmtId="0" fontId="6" fillId="37" borderId="74" xfId="496" applyFont="1" applyFill="1" applyBorder="1" applyAlignment="1">
      <alignment vertical="center"/>
    </xf>
    <xf numFmtId="177" fontId="8" fillId="37" borderId="69" xfId="786" applyNumberFormat="1" applyFont="1" applyFill="1" applyBorder="1" applyAlignment="1">
      <alignment horizontal="center" vertical="center"/>
    </xf>
    <xf numFmtId="0" fontId="2" fillId="0" borderId="21" xfId="413" applyFont="1" applyFill="1" applyBorder="1" applyAlignment="1">
      <alignment horizontal="center" vertical="center"/>
    </xf>
    <xf numFmtId="0" fontId="2" fillId="0" borderId="24" xfId="413" applyFont="1" applyFill="1" applyBorder="1" applyAlignment="1">
      <alignment horizontal="center" vertical="center"/>
    </xf>
    <xf numFmtId="0" fontId="7" fillId="0" borderId="24" xfId="413" applyFont="1" applyFill="1" applyBorder="1" applyAlignment="1">
      <alignment horizontal="center" vertical="center"/>
    </xf>
    <xf numFmtId="0" fontId="7" fillId="0" borderId="26" xfId="413" applyFont="1" applyFill="1" applyBorder="1" applyAlignment="1">
      <alignment horizontal="center" vertical="center"/>
    </xf>
    <xf numFmtId="0" fontId="2" fillId="0" borderId="37" xfId="0" applyFont="1" applyBorder="1" applyAlignment="1">
      <alignment horizontal="left" vertical="center"/>
    </xf>
    <xf numFmtId="0" fontId="7" fillId="0" borderId="38" xfId="424" applyFont="1" applyFill="1" applyBorder="1" applyAlignment="1">
      <alignment horizontal="left" vertical="center" wrapText="1"/>
    </xf>
    <xf numFmtId="0" fontId="98" fillId="0" borderId="21" xfId="0" applyFont="1" applyBorder="1"/>
    <xf numFmtId="0" fontId="7" fillId="0" borderId="21" xfId="0" applyFont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0" fillId="0" borderId="0" xfId="0" applyFill="1"/>
    <xf numFmtId="0" fontId="78" fillId="0" borderId="0" xfId="0" applyFont="1" applyAlignment="1">
      <alignment vertical="center"/>
    </xf>
    <xf numFmtId="0" fontId="11" fillId="39" borderId="38" xfId="355" applyFont="1" applyFill="1" applyBorder="1" applyAlignment="1">
      <alignment horizontal="center" vertical="center" wrapText="1"/>
    </xf>
    <xf numFmtId="0" fontId="11" fillId="39" borderId="21" xfId="355" applyFont="1" applyFill="1" applyBorder="1" applyAlignment="1">
      <alignment horizontal="center" vertical="center"/>
    </xf>
    <xf numFmtId="0" fontId="2" fillId="37" borderId="0" xfId="0" applyFont="1" applyFill="1" applyAlignment="1">
      <alignment horizontal="right"/>
    </xf>
    <xf numFmtId="0" fontId="2" fillId="37" borderId="21" xfId="0" applyFont="1" applyFill="1" applyBorder="1" applyAlignment="1">
      <alignment horizontal="right"/>
    </xf>
    <xf numFmtId="165" fontId="7" fillId="37" borderId="21" xfId="786" applyFont="1" applyFill="1" applyBorder="1" applyAlignment="1">
      <alignment horizontal="center" vertical="center"/>
    </xf>
    <xf numFmtId="165" fontId="7" fillId="0" borderId="21" xfId="786" applyFont="1" applyFill="1" applyBorder="1" applyAlignment="1">
      <alignment horizontal="center" vertical="center"/>
    </xf>
    <xf numFmtId="165" fontId="7" fillId="37" borderId="37" xfId="786" applyFont="1" applyFill="1" applyBorder="1" applyAlignment="1">
      <alignment horizontal="center" vertical="center"/>
    </xf>
    <xf numFmtId="165" fontId="6" fillId="0" borderId="24" xfId="786" applyFont="1" applyFill="1" applyBorder="1" applyAlignment="1">
      <alignment horizontal="right" vertical="center"/>
    </xf>
    <xf numFmtId="165" fontId="6" fillId="0" borderId="26" xfId="786" applyFont="1" applyFill="1" applyBorder="1" applyAlignment="1">
      <alignment horizontal="right" vertical="center"/>
    </xf>
    <xf numFmtId="0" fontId="9" fillId="37" borderId="41" xfId="0" applyNumberFormat="1" applyFont="1" applyFill="1" applyBorder="1" applyAlignment="1">
      <alignment vertical="center"/>
    </xf>
    <xf numFmtId="4" fontId="10" fillId="37" borderId="50" xfId="0" applyNumberFormat="1" applyFont="1" applyFill="1" applyBorder="1" applyAlignment="1">
      <alignment horizontal="center" vertical="center"/>
    </xf>
    <xf numFmtId="4" fontId="10" fillId="37" borderId="68" xfId="0" applyNumberFormat="1" applyFont="1" applyFill="1" applyBorder="1" applyAlignment="1">
      <alignment horizontal="center" vertical="center"/>
    </xf>
    <xf numFmtId="4" fontId="10" fillId="37" borderId="69" xfId="0" applyNumberFormat="1" applyFont="1" applyFill="1" applyBorder="1" applyAlignment="1">
      <alignment horizontal="center" vertical="center"/>
    </xf>
    <xf numFmtId="0" fontId="9" fillId="37" borderId="48" xfId="0" applyFont="1" applyFill="1" applyBorder="1" applyAlignment="1">
      <alignment horizontal="center" vertical="center"/>
    </xf>
    <xf numFmtId="0" fontId="0" fillId="37" borderId="78" xfId="0" applyFill="1" applyBorder="1" applyAlignment="1">
      <alignment horizontal="center" vertical="center"/>
    </xf>
    <xf numFmtId="0" fontId="0" fillId="37" borderId="79" xfId="0" applyFill="1" applyBorder="1" applyAlignment="1">
      <alignment horizontal="center" vertical="center"/>
    </xf>
    <xf numFmtId="0" fontId="9" fillId="37" borderId="75" xfId="0" applyFont="1" applyFill="1" applyBorder="1" applyAlignment="1">
      <alignment horizontal="center" vertical="center"/>
    </xf>
    <xf numFmtId="0" fontId="9" fillId="37" borderId="49" xfId="0" applyFont="1" applyFill="1" applyBorder="1" applyAlignment="1">
      <alignment horizontal="center" vertical="center"/>
    </xf>
    <xf numFmtId="0" fontId="9" fillId="37" borderId="39" xfId="0" applyFont="1" applyFill="1" applyBorder="1" applyAlignment="1">
      <alignment horizontal="center" vertical="center"/>
    </xf>
    <xf numFmtId="0" fontId="9" fillId="37" borderId="76" xfId="0" applyFont="1" applyFill="1" applyBorder="1" applyAlignment="1">
      <alignment horizontal="center" vertical="center"/>
    </xf>
    <xf numFmtId="0" fontId="9" fillId="37" borderId="77" xfId="0" applyFont="1" applyFill="1" applyBorder="1" applyAlignment="1">
      <alignment horizontal="center" vertical="center"/>
    </xf>
    <xf numFmtId="0" fontId="9" fillId="37" borderId="47" xfId="0" applyFont="1" applyFill="1" applyBorder="1" applyAlignment="1">
      <alignment horizontal="center" vertical="center"/>
    </xf>
    <xf numFmtId="0" fontId="8" fillId="37" borderId="24" xfId="0" applyNumberFormat="1" applyFont="1" applyFill="1" applyBorder="1" applyAlignment="1">
      <alignment horizontal="center" vertical="center"/>
    </xf>
    <xf numFmtId="0" fontId="8" fillId="37" borderId="26" xfId="0" applyNumberFormat="1" applyFont="1" applyFill="1" applyBorder="1" applyAlignment="1">
      <alignment horizontal="center" vertical="center"/>
    </xf>
    <xf numFmtId="0" fontId="9" fillId="37" borderId="75" xfId="0" applyFont="1" applyFill="1" applyBorder="1" applyAlignment="1">
      <alignment horizontal="left" vertical="center"/>
    </xf>
    <xf numFmtId="0" fontId="9" fillId="37" borderId="49" xfId="0" applyFont="1" applyFill="1" applyBorder="1" applyAlignment="1">
      <alignment horizontal="left" vertical="center"/>
    </xf>
    <xf numFmtId="0" fontId="9" fillId="37" borderId="39" xfId="0" applyFont="1" applyFill="1" applyBorder="1" applyAlignment="1">
      <alignment horizontal="left" vertical="center"/>
    </xf>
    <xf numFmtId="0" fontId="9" fillId="37" borderId="76" xfId="0" applyFont="1" applyFill="1" applyBorder="1" applyAlignment="1">
      <alignment horizontal="left" vertical="center"/>
    </xf>
    <xf numFmtId="0" fontId="9" fillId="37" borderId="77" xfId="0" applyFont="1" applyFill="1" applyBorder="1" applyAlignment="1">
      <alignment horizontal="left" vertical="center"/>
    </xf>
    <xf numFmtId="0" fontId="9" fillId="37" borderId="47" xfId="0" applyFont="1" applyFill="1" applyBorder="1" applyAlignment="1">
      <alignment horizontal="left" vertical="center"/>
    </xf>
    <xf numFmtId="0" fontId="9" fillId="37" borderId="75" xfId="0" applyFont="1" applyFill="1" applyBorder="1" applyAlignment="1">
      <alignment horizontal="left" vertical="center" wrapText="1"/>
    </xf>
    <xf numFmtId="0" fontId="9" fillId="37" borderId="49" xfId="0" applyFont="1" applyFill="1" applyBorder="1" applyAlignment="1">
      <alignment horizontal="left" vertical="center" wrapText="1"/>
    </xf>
    <xf numFmtId="0" fontId="9" fillId="37" borderId="39" xfId="0" applyFont="1" applyFill="1" applyBorder="1" applyAlignment="1">
      <alignment horizontal="left" vertical="center" wrapText="1"/>
    </xf>
    <xf numFmtId="0" fontId="9" fillId="37" borderId="76" xfId="0" applyFont="1" applyFill="1" applyBorder="1" applyAlignment="1">
      <alignment horizontal="left" vertical="center" wrapText="1"/>
    </xf>
    <xf numFmtId="0" fontId="9" fillId="37" borderId="77" xfId="0" applyFont="1" applyFill="1" applyBorder="1" applyAlignment="1">
      <alignment horizontal="left" vertical="center" wrapText="1"/>
    </xf>
    <xf numFmtId="0" fontId="9" fillId="37" borderId="47" xfId="0" applyFont="1" applyFill="1" applyBorder="1" applyAlignment="1">
      <alignment horizontal="left" vertical="center" wrapText="1"/>
    </xf>
    <xf numFmtId="167" fontId="8" fillId="37" borderId="50" xfId="288" applyFont="1" applyFill="1" applyBorder="1" applyAlignment="1">
      <alignment horizontal="center" vertical="center"/>
    </xf>
    <xf numFmtId="167" fontId="8" fillId="37" borderId="68" xfId="288" applyFont="1" applyFill="1" applyBorder="1" applyAlignment="1">
      <alignment horizontal="center" vertical="center"/>
    </xf>
    <xf numFmtId="167" fontId="8" fillId="37" borderId="69" xfId="288" applyFont="1" applyFill="1" applyBorder="1" applyAlignment="1">
      <alignment horizontal="center" vertical="center"/>
    </xf>
    <xf numFmtId="0" fontId="8" fillId="37" borderId="80" xfId="0" applyNumberFormat="1" applyFont="1" applyFill="1" applyBorder="1" applyAlignment="1">
      <alignment horizontal="left" vertical="center"/>
    </xf>
    <xf numFmtId="0" fontId="8" fillId="37" borderId="71" xfId="0" applyNumberFormat="1" applyFont="1" applyFill="1" applyBorder="1" applyAlignment="1">
      <alignment horizontal="left" vertical="center"/>
    </xf>
    <xf numFmtId="0" fontId="8" fillId="37" borderId="49" xfId="0" applyNumberFormat="1" applyFont="1" applyFill="1" applyBorder="1" applyAlignment="1">
      <alignment horizontal="left" vertical="center"/>
    </xf>
    <xf numFmtId="0" fontId="8" fillId="37" borderId="22" xfId="0" applyNumberFormat="1" applyFont="1" applyFill="1" applyBorder="1" applyAlignment="1">
      <alignment horizontal="left" vertical="center"/>
    </xf>
    <xf numFmtId="0" fontId="8" fillId="37" borderId="0" xfId="0" applyNumberFormat="1" applyFont="1" applyFill="1" applyBorder="1" applyAlignment="1">
      <alignment horizontal="left" vertical="center"/>
    </xf>
    <xf numFmtId="0" fontId="8" fillId="37" borderId="76" xfId="0" applyNumberFormat="1" applyFont="1" applyFill="1" applyBorder="1" applyAlignment="1">
      <alignment horizontal="left" vertical="center"/>
    </xf>
    <xf numFmtId="0" fontId="8" fillId="37" borderId="44" xfId="0" applyNumberFormat="1" applyFont="1" applyFill="1" applyBorder="1" applyAlignment="1">
      <alignment horizontal="left" vertical="center"/>
    </xf>
    <xf numFmtId="0" fontId="8" fillId="37" borderId="45" xfId="0" applyNumberFormat="1" applyFont="1" applyFill="1" applyBorder="1" applyAlignment="1">
      <alignment horizontal="left" vertical="center"/>
    </xf>
    <xf numFmtId="0" fontId="8" fillId="37" borderId="47" xfId="0" applyNumberFormat="1" applyFont="1" applyFill="1" applyBorder="1" applyAlignment="1">
      <alignment horizontal="left" vertical="center"/>
    </xf>
    <xf numFmtId="0" fontId="6" fillId="37" borderId="35" xfId="0" applyNumberFormat="1" applyFont="1" applyFill="1" applyBorder="1" applyAlignment="1">
      <alignment horizontal="left" vertical="center"/>
    </xf>
    <xf numFmtId="0" fontId="6" fillId="37" borderId="25" xfId="0" applyNumberFormat="1" applyFont="1" applyFill="1" applyBorder="1" applyAlignment="1">
      <alignment horizontal="left" vertical="center"/>
    </xf>
    <xf numFmtId="0" fontId="6" fillId="37" borderId="36" xfId="0" applyNumberFormat="1" applyFont="1" applyFill="1" applyBorder="1" applyAlignment="1">
      <alignment horizontal="left" vertical="center"/>
    </xf>
    <xf numFmtId="0" fontId="6" fillId="37" borderId="35" xfId="0" applyFont="1" applyFill="1" applyBorder="1" applyAlignment="1">
      <alignment horizontal="left" vertical="center" wrapText="1"/>
    </xf>
    <xf numFmtId="0" fontId="6" fillId="37" borderId="25" xfId="0" applyFont="1" applyFill="1" applyBorder="1" applyAlignment="1">
      <alignment horizontal="left" vertical="center" wrapText="1"/>
    </xf>
    <xf numFmtId="0" fontId="6" fillId="37" borderId="36" xfId="0" applyFont="1" applyFill="1" applyBorder="1" applyAlignment="1">
      <alignment horizontal="left" vertical="center" wrapText="1"/>
    </xf>
    <xf numFmtId="0" fontId="8" fillId="37" borderId="35" xfId="0" applyNumberFormat="1" applyFont="1" applyFill="1" applyBorder="1" applyAlignment="1">
      <alignment horizontal="left" vertical="center"/>
    </xf>
    <xf numFmtId="0" fontId="8" fillId="37" borderId="25" xfId="0" applyNumberFormat="1" applyFont="1" applyFill="1" applyBorder="1" applyAlignment="1">
      <alignment horizontal="left" vertical="center"/>
    </xf>
    <xf numFmtId="0" fontId="8" fillId="37" borderId="26" xfId="0" applyNumberFormat="1" applyFont="1" applyFill="1" applyBorder="1" applyAlignment="1">
      <alignment horizontal="left" vertical="center"/>
    </xf>
    <xf numFmtId="0" fontId="0" fillId="37" borderId="75" xfId="0" applyFill="1" applyBorder="1" applyAlignment="1">
      <alignment horizontal="left" vertical="center" wrapText="1"/>
    </xf>
    <xf numFmtId="0" fontId="0" fillId="37" borderId="49" xfId="0" applyFill="1" applyBorder="1" applyAlignment="1">
      <alignment horizontal="left" vertical="center" wrapText="1"/>
    </xf>
    <xf numFmtId="0" fontId="0" fillId="37" borderId="39" xfId="0" applyFill="1" applyBorder="1" applyAlignment="1">
      <alignment horizontal="left" vertical="center" wrapText="1"/>
    </xf>
    <xf numFmtId="0" fontId="0" fillId="37" borderId="76" xfId="0" applyFill="1" applyBorder="1" applyAlignment="1">
      <alignment horizontal="left" vertical="center" wrapText="1"/>
    </xf>
    <xf numFmtId="0" fontId="0" fillId="37" borderId="77" xfId="0" applyFill="1" applyBorder="1" applyAlignment="1">
      <alignment horizontal="left" vertical="center" wrapText="1"/>
    </xf>
    <xf numFmtId="0" fontId="0" fillId="37" borderId="47" xfId="0" applyFill="1" applyBorder="1" applyAlignment="1">
      <alignment horizontal="left" vertical="center" wrapText="1"/>
    </xf>
    <xf numFmtId="0" fontId="8" fillId="37" borderId="30" xfId="0" applyNumberFormat="1" applyFont="1" applyFill="1" applyBorder="1" applyAlignment="1">
      <alignment horizontal="center" vertical="center"/>
    </xf>
    <xf numFmtId="0" fontId="8" fillId="37" borderId="31" xfId="0" applyNumberFormat="1" applyFont="1" applyFill="1" applyBorder="1" applyAlignment="1">
      <alignment horizontal="center" vertical="center"/>
    </xf>
    <xf numFmtId="0" fontId="8" fillId="37" borderId="32" xfId="0" applyNumberFormat="1" applyFont="1" applyFill="1" applyBorder="1" applyAlignment="1">
      <alignment horizontal="center" vertical="center"/>
    </xf>
    <xf numFmtId="0" fontId="8" fillId="37" borderId="44" xfId="0" applyNumberFormat="1" applyFont="1" applyFill="1" applyBorder="1" applyAlignment="1">
      <alignment horizontal="center" vertical="center"/>
    </xf>
    <xf numFmtId="0" fontId="8" fillId="37" borderId="45" xfId="0" applyNumberFormat="1" applyFont="1" applyFill="1" applyBorder="1" applyAlignment="1">
      <alignment horizontal="center" vertical="center"/>
    </xf>
    <xf numFmtId="0" fontId="8" fillId="37" borderId="46" xfId="0" applyNumberFormat="1" applyFont="1" applyFill="1" applyBorder="1" applyAlignment="1">
      <alignment horizontal="center" vertical="center"/>
    </xf>
    <xf numFmtId="0" fontId="0" fillId="37" borderId="75" xfId="0" applyFill="1" applyBorder="1" applyAlignment="1">
      <alignment horizontal="left" vertical="center"/>
    </xf>
    <xf numFmtId="0" fontId="0" fillId="37" borderId="49" xfId="0" applyFill="1" applyBorder="1" applyAlignment="1">
      <alignment horizontal="left" vertical="center"/>
    </xf>
    <xf numFmtId="0" fontId="0" fillId="37" borderId="39" xfId="0" applyFill="1" applyBorder="1" applyAlignment="1">
      <alignment horizontal="left" vertical="center"/>
    </xf>
    <xf numFmtId="0" fontId="0" fillId="37" borderId="76" xfId="0" applyFill="1" applyBorder="1" applyAlignment="1">
      <alignment horizontal="left" vertical="center"/>
    </xf>
    <xf numFmtId="0" fontId="0" fillId="37" borderId="77" xfId="0" applyFill="1" applyBorder="1" applyAlignment="1">
      <alignment horizontal="left" vertical="center"/>
    </xf>
    <xf numFmtId="0" fontId="0" fillId="37" borderId="47" xfId="0" applyFill="1" applyBorder="1" applyAlignment="1">
      <alignment horizontal="left" vertical="center"/>
    </xf>
    <xf numFmtId="9" fontId="6" fillId="0" borderId="24" xfId="413" applyNumberFormat="1" applyFont="1" applyBorder="1" applyAlignment="1">
      <alignment horizontal="right" vertical="center"/>
    </xf>
    <xf numFmtId="9" fontId="6" fillId="0" borderId="26" xfId="413" applyNumberFormat="1" applyFont="1" applyBorder="1" applyAlignment="1">
      <alignment horizontal="right" vertical="center"/>
    </xf>
    <xf numFmtId="0" fontId="11" fillId="0" borderId="21" xfId="399" applyNumberFormat="1" applyFont="1" applyFill="1" applyBorder="1" applyAlignment="1">
      <alignment horizontal="left" vertical="center"/>
    </xf>
    <xf numFmtId="0" fontId="11" fillId="0" borderId="34" xfId="399" applyNumberFormat="1" applyFont="1" applyFill="1" applyBorder="1" applyAlignment="1">
      <alignment horizontal="left" vertical="center"/>
    </xf>
    <xf numFmtId="0" fontId="6" fillId="0" borderId="24" xfId="399" applyFont="1" applyBorder="1" applyAlignment="1">
      <alignment horizontal="right" vertical="center"/>
    </xf>
    <xf numFmtId="0" fontId="6" fillId="0" borderId="26" xfId="399" applyFont="1" applyBorder="1" applyAlignment="1">
      <alignment horizontal="right" vertical="center"/>
    </xf>
    <xf numFmtId="0" fontId="63" fillId="0" borderId="21" xfId="0" applyFont="1" applyBorder="1" applyAlignment="1">
      <alignment vertical="center" wrapText="1"/>
    </xf>
    <xf numFmtId="0" fontId="63" fillId="0" borderId="21" xfId="0" applyFont="1" applyBorder="1" applyAlignment="1">
      <alignment horizontal="left" vertical="center" wrapText="1"/>
    </xf>
    <xf numFmtId="169" fontId="8" fillId="33" borderId="33" xfId="0" applyNumberFormat="1" applyFont="1" applyFill="1" applyBorder="1" applyAlignment="1">
      <alignment horizontal="center" vertical="center"/>
    </xf>
    <xf numFmtId="169" fontId="8" fillId="33" borderId="38" xfId="0" applyNumberFormat="1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6" fillId="37" borderId="50" xfId="0" applyNumberFormat="1" applyFont="1" applyFill="1" applyBorder="1" applyAlignment="1">
      <alignment horizontal="center" vertical="center" wrapText="1"/>
    </xf>
    <xf numFmtId="4" fontId="6" fillId="37" borderId="69" xfId="0" applyNumberFormat="1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63" fillId="37" borderId="24" xfId="0" applyFont="1" applyFill="1" applyBorder="1" applyAlignment="1">
      <alignment horizontal="center" vertical="center"/>
    </xf>
    <xf numFmtId="0" fontId="63" fillId="37" borderId="25" xfId="0" applyFont="1" applyFill="1" applyBorder="1" applyAlignment="1">
      <alignment horizontal="center" vertical="center"/>
    </xf>
    <xf numFmtId="0" fontId="6" fillId="37" borderId="21" xfId="0" applyFont="1" applyFill="1" applyBorder="1" applyAlignment="1">
      <alignment horizontal="left" vertical="center" wrapText="1"/>
    </xf>
    <xf numFmtId="0" fontId="63" fillId="37" borderId="67" xfId="0" applyFont="1" applyFill="1" applyBorder="1" applyAlignment="1">
      <alignment horizontal="center" vertical="center" wrapText="1"/>
    </xf>
    <xf numFmtId="0" fontId="63" fillId="37" borderId="81" xfId="0" applyFont="1" applyFill="1" applyBorder="1" applyAlignment="1">
      <alignment horizontal="center" vertical="center" wrapText="1"/>
    </xf>
    <xf numFmtId="0" fontId="63" fillId="37" borderId="41" xfId="0" applyFont="1" applyFill="1" applyBorder="1" applyAlignment="1">
      <alignment horizontal="center" vertical="center" wrapText="1"/>
    </xf>
    <xf numFmtId="0" fontId="63" fillId="37" borderId="21" xfId="0" applyFont="1" applyFill="1" applyBorder="1" applyAlignment="1">
      <alignment horizontal="center" vertical="center" wrapText="1"/>
    </xf>
    <xf numFmtId="0" fontId="63" fillId="37" borderId="35" xfId="0" applyFont="1" applyFill="1" applyBorder="1" applyAlignment="1">
      <alignment horizontal="left" vertical="center" wrapText="1"/>
    </xf>
    <xf numFmtId="0" fontId="63" fillId="37" borderId="25" xfId="0" applyFont="1" applyFill="1" applyBorder="1" applyAlignment="1">
      <alignment horizontal="left" vertical="center" wrapText="1"/>
    </xf>
    <xf numFmtId="0" fontId="63" fillId="37" borderId="81" xfId="0" applyFont="1" applyFill="1" applyBorder="1" applyAlignment="1">
      <alignment horizontal="center" vertical="center"/>
    </xf>
    <xf numFmtId="0" fontId="6" fillId="37" borderId="21" xfId="0" applyFont="1" applyFill="1" applyBorder="1" applyAlignment="1">
      <alignment horizontal="left" vertical="center"/>
    </xf>
    <xf numFmtId="0" fontId="11" fillId="37" borderId="37" xfId="0" applyFont="1" applyFill="1" applyBorder="1" applyAlignment="1">
      <alignment horizontal="center" vertical="center"/>
    </xf>
    <xf numFmtId="0" fontId="11" fillId="37" borderId="38" xfId="0" applyFont="1" applyFill="1" applyBorder="1" applyAlignment="1">
      <alignment horizontal="center" vertical="center"/>
    </xf>
    <xf numFmtId="169" fontId="11" fillId="37" borderId="37" xfId="0" applyNumberFormat="1" applyFont="1" applyFill="1" applyBorder="1" applyAlignment="1">
      <alignment horizontal="center" vertical="center"/>
    </xf>
    <xf numFmtId="169" fontId="11" fillId="37" borderId="38" xfId="0" applyNumberFormat="1" applyFont="1" applyFill="1" applyBorder="1" applyAlignment="1">
      <alignment horizontal="center" vertical="center"/>
    </xf>
    <xf numFmtId="0" fontId="11" fillId="37" borderId="37" xfId="0" applyFont="1" applyFill="1" applyBorder="1" applyAlignment="1">
      <alignment horizontal="center" vertical="center" wrapText="1"/>
    </xf>
    <xf numFmtId="0" fontId="11" fillId="37" borderId="38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1" xfId="0" applyFont="1" applyBorder="1" applyAlignment="1">
      <alignment horizontal="left"/>
    </xf>
    <xf numFmtId="0" fontId="95" fillId="37" borderId="30" xfId="355" applyFont="1" applyFill="1" applyBorder="1" applyAlignment="1">
      <alignment horizontal="center"/>
    </xf>
    <xf numFmtId="0" fontId="95" fillId="37" borderId="31" xfId="355" applyFont="1" applyFill="1" applyBorder="1" applyAlignment="1">
      <alignment horizontal="center"/>
    </xf>
    <xf numFmtId="0" fontId="95" fillId="37" borderId="32" xfId="355" applyFont="1" applyFill="1" applyBorder="1" applyAlignment="1">
      <alignment horizontal="center"/>
    </xf>
    <xf numFmtId="0" fontId="95" fillId="37" borderId="22" xfId="355" applyFont="1" applyFill="1" applyBorder="1" applyAlignment="1">
      <alignment horizontal="center"/>
    </xf>
    <xf numFmtId="0" fontId="95" fillId="37" borderId="0" xfId="355" applyFont="1" applyFill="1" applyAlignment="1">
      <alignment horizontal="center"/>
    </xf>
    <xf numFmtId="0" fontId="95" fillId="37" borderId="27" xfId="355" applyFont="1" applyFill="1" applyBorder="1" applyAlignment="1">
      <alignment horizontal="center"/>
    </xf>
    <xf numFmtId="0" fontId="95" fillId="37" borderId="23" xfId="355" applyFont="1" applyFill="1" applyBorder="1" applyAlignment="1">
      <alignment horizontal="center"/>
    </xf>
    <xf numFmtId="0" fontId="95" fillId="37" borderId="28" xfId="355" applyFont="1" applyFill="1" applyBorder="1" applyAlignment="1">
      <alignment horizontal="center"/>
    </xf>
    <xf numFmtId="0" fontId="95" fillId="37" borderId="29" xfId="355" applyFont="1" applyFill="1" applyBorder="1" applyAlignment="1">
      <alignment horizontal="center"/>
    </xf>
    <xf numFmtId="0" fontId="94" fillId="37" borderId="82" xfId="355" applyFont="1" applyFill="1" applyBorder="1" applyAlignment="1">
      <alignment horizontal="center"/>
    </xf>
    <xf numFmtId="0" fontId="94" fillId="37" borderId="83" xfId="355" applyFont="1" applyFill="1" applyBorder="1" applyAlignment="1">
      <alignment horizontal="center"/>
    </xf>
    <xf numFmtId="0" fontId="94" fillId="37" borderId="84" xfId="355" applyFont="1" applyFill="1" applyBorder="1" applyAlignment="1">
      <alignment horizontal="center"/>
    </xf>
    <xf numFmtId="49" fontId="11" fillId="33" borderId="41" xfId="498" applyNumberFormat="1" applyFont="1" applyFill="1" applyBorder="1" applyAlignment="1">
      <alignment horizontal="center" vertical="center"/>
    </xf>
    <xf numFmtId="49" fontId="11" fillId="33" borderId="21" xfId="498" applyNumberFormat="1" applyFont="1" applyFill="1" applyBorder="1" applyAlignment="1">
      <alignment horizontal="center" vertical="center"/>
    </xf>
    <xf numFmtId="49" fontId="11" fillId="33" borderId="34" xfId="498" applyNumberFormat="1" applyFont="1" applyFill="1" applyBorder="1" applyAlignment="1">
      <alignment horizontal="center" vertical="center"/>
    </xf>
    <xf numFmtId="49" fontId="11" fillId="33" borderId="82" xfId="498" applyNumberFormat="1" applyFont="1" applyFill="1" applyBorder="1" applyAlignment="1">
      <alignment horizontal="center" vertical="center"/>
    </xf>
    <xf numFmtId="49" fontId="11" fillId="33" borderId="83" xfId="498" applyNumberFormat="1" applyFont="1" applyFill="1" applyBorder="1" applyAlignment="1">
      <alignment horizontal="center" vertical="center"/>
    </xf>
    <xf numFmtId="49" fontId="11" fillId="33" borderId="84" xfId="498" applyNumberFormat="1" applyFont="1" applyFill="1" applyBorder="1" applyAlignment="1">
      <alignment horizontal="center" vertical="center"/>
    </xf>
    <xf numFmtId="0" fontId="11" fillId="39" borderId="41" xfId="355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 wrapText="1"/>
    </xf>
    <xf numFmtId="0" fontId="11" fillId="39" borderId="85" xfId="355" applyFont="1" applyFill="1" applyBorder="1" applyAlignment="1">
      <alignment horizontal="center" vertical="center"/>
    </xf>
    <xf numFmtId="0" fontId="11" fillId="39" borderId="78" xfId="355" applyFont="1" applyFill="1" applyBorder="1" applyAlignment="1">
      <alignment horizontal="center" vertical="center"/>
    </xf>
    <xf numFmtId="0" fontId="11" fillId="39" borderId="79" xfId="355" applyFont="1" applyFill="1" applyBorder="1" applyAlignment="1">
      <alignment horizontal="center" vertical="center"/>
    </xf>
    <xf numFmtId="0" fontId="11" fillId="39" borderId="86" xfId="355" applyFont="1" applyFill="1" applyBorder="1" applyAlignment="1">
      <alignment horizontal="center" vertical="center"/>
    </xf>
    <xf numFmtId="0" fontId="11" fillId="39" borderId="33" xfId="355" applyFont="1" applyFill="1" applyBorder="1" applyAlignment="1">
      <alignment horizontal="center" vertical="center"/>
    </xf>
    <xf numFmtId="0" fontId="11" fillId="39" borderId="38" xfId="355" applyFont="1" applyFill="1" applyBorder="1" applyAlignment="1">
      <alignment horizontal="center" vertical="center"/>
    </xf>
    <xf numFmtId="0" fontId="11" fillId="39" borderId="86" xfId="355" applyFont="1" applyFill="1" applyBorder="1" applyAlignment="1">
      <alignment horizontal="center" vertical="center" wrapText="1"/>
    </xf>
    <xf numFmtId="0" fontId="11" fillId="39" borderId="33" xfId="355" applyFont="1" applyFill="1" applyBorder="1" applyAlignment="1">
      <alignment horizontal="center" vertical="center" wrapText="1"/>
    </xf>
    <xf numFmtId="0" fontId="11" fillId="39" borderId="38" xfId="355" applyFont="1" applyFill="1" applyBorder="1" applyAlignment="1">
      <alignment horizontal="center" vertical="center" wrapText="1"/>
    </xf>
    <xf numFmtId="0" fontId="11" fillId="39" borderId="85" xfId="355" applyFont="1" applyFill="1" applyBorder="1" applyAlignment="1">
      <alignment horizontal="center" vertical="center" wrapText="1"/>
    </xf>
    <xf numFmtId="0" fontId="11" fillId="39" borderId="78" xfId="355" applyFont="1" applyFill="1" applyBorder="1" applyAlignment="1">
      <alignment horizontal="center" vertical="center" wrapText="1"/>
    </xf>
    <xf numFmtId="0" fontId="11" fillId="39" borderId="87" xfId="355" applyFont="1" applyFill="1" applyBorder="1" applyAlignment="1">
      <alignment horizontal="center" vertical="center" wrapText="1"/>
    </xf>
    <xf numFmtId="0" fontId="11" fillId="39" borderId="54" xfId="355" applyFont="1" applyFill="1" applyBorder="1" applyAlignment="1">
      <alignment horizontal="center" vertical="center"/>
    </xf>
    <xf numFmtId="0" fontId="11" fillId="39" borderId="69" xfId="355" applyFont="1" applyFill="1" applyBorder="1" applyAlignment="1">
      <alignment horizontal="center" vertical="center"/>
    </xf>
    <xf numFmtId="0" fontId="94" fillId="0" borderId="41" xfId="355" applyFont="1" applyBorder="1" applyAlignment="1">
      <alignment horizontal="center"/>
    </xf>
    <xf numFmtId="0" fontId="94" fillId="0" borderId="21" xfId="355" applyFont="1" applyBorder="1" applyAlignment="1">
      <alignment horizontal="center"/>
    </xf>
    <xf numFmtId="0" fontId="94" fillId="0" borderId="88" xfId="355" applyFont="1" applyBorder="1" applyAlignment="1">
      <alignment horizontal="center"/>
    </xf>
    <xf numFmtId="0" fontId="94" fillId="0" borderId="89" xfId="355" applyFont="1" applyBorder="1" applyAlignment="1">
      <alignment horizontal="center"/>
    </xf>
    <xf numFmtId="0" fontId="94" fillId="0" borderId="90" xfId="355" applyFont="1" applyBorder="1" applyAlignment="1">
      <alignment horizontal="center"/>
    </xf>
    <xf numFmtId="0" fontId="95" fillId="37" borderId="51" xfId="355" applyFont="1" applyFill="1" applyBorder="1" applyAlignment="1">
      <alignment horizontal="center" vertical="center"/>
    </xf>
    <xf numFmtId="0" fontId="95" fillId="37" borderId="52" xfId="355" applyFont="1" applyFill="1" applyBorder="1" applyAlignment="1">
      <alignment horizontal="center" vertical="center"/>
    </xf>
    <xf numFmtId="0" fontId="95" fillId="37" borderId="91" xfId="355" applyFont="1" applyFill="1" applyBorder="1" applyAlignment="1">
      <alignment horizontal="center" vertical="center"/>
    </xf>
    <xf numFmtId="0" fontId="95" fillId="37" borderId="21" xfId="355" applyFont="1" applyFill="1" applyBorder="1" applyAlignment="1">
      <alignment horizontal="center"/>
    </xf>
    <xf numFmtId="0" fontId="95" fillId="37" borderId="34" xfId="355" applyFont="1" applyFill="1" applyBorder="1" applyAlignment="1">
      <alignment horizontal="center"/>
    </xf>
    <xf numFmtId="0" fontId="95" fillId="37" borderId="24" xfId="355" applyFont="1" applyFill="1" applyBorder="1" applyAlignment="1">
      <alignment horizontal="center"/>
    </xf>
    <xf numFmtId="0" fontId="95" fillId="37" borderId="25" xfId="355" applyFont="1" applyFill="1" applyBorder="1" applyAlignment="1">
      <alignment horizontal="center"/>
    </xf>
    <xf numFmtId="0" fontId="95" fillId="37" borderId="36" xfId="355" applyFont="1" applyFill="1" applyBorder="1" applyAlignment="1">
      <alignment horizontal="center"/>
    </xf>
    <xf numFmtId="0" fontId="95" fillId="37" borderId="43" xfId="355" applyFont="1" applyFill="1" applyBorder="1" applyAlignment="1">
      <alignment horizontal="center"/>
    </xf>
    <xf numFmtId="0" fontId="95" fillId="37" borderId="40" xfId="355" applyFont="1" applyFill="1" applyBorder="1" applyAlignment="1">
      <alignment horizontal="center"/>
    </xf>
    <xf numFmtId="0" fontId="95" fillId="37" borderId="72" xfId="355" applyFont="1" applyFill="1" applyBorder="1" applyAlignment="1">
      <alignment horizontal="center"/>
    </xf>
    <xf numFmtId="0" fontId="95" fillId="37" borderId="73" xfId="355" applyFont="1" applyFill="1" applyBorder="1" applyAlignment="1">
      <alignment horizontal="center"/>
    </xf>
    <xf numFmtId="0" fontId="95" fillId="37" borderId="74" xfId="355" applyFont="1" applyFill="1" applyBorder="1" applyAlignment="1">
      <alignment horizontal="center"/>
    </xf>
    <xf numFmtId="0" fontId="95" fillId="37" borderId="0" xfId="355" applyFont="1" applyFill="1" applyBorder="1" applyAlignment="1">
      <alignment horizontal="center"/>
    </xf>
    <xf numFmtId="0" fontId="0" fillId="0" borderId="108" xfId="0" applyBorder="1" applyAlignment="1">
      <alignment horizontal="center" vertical="top" wrapText="1"/>
    </xf>
    <xf numFmtId="0" fontId="0" fillId="0" borderId="109" xfId="0" applyBorder="1" applyAlignment="1">
      <alignment horizontal="center" vertical="top" wrapText="1"/>
    </xf>
    <xf numFmtId="0" fontId="0" fillId="0" borderId="110" xfId="0" applyBorder="1" applyAlignment="1">
      <alignment horizontal="center" vertical="top" wrapText="1"/>
    </xf>
    <xf numFmtId="0" fontId="72" fillId="0" borderId="108" xfId="0" applyFont="1" applyBorder="1" applyAlignment="1">
      <alignment horizontal="center" vertical="center" wrapText="1"/>
    </xf>
    <xf numFmtId="0" fontId="72" fillId="0" borderId="109" xfId="0" applyFont="1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0" xfId="0" applyBorder="1" applyAlignment="1">
      <alignment horizontal="center" vertical="center" wrapText="1"/>
    </xf>
    <xf numFmtId="0" fontId="12" fillId="0" borderId="111" xfId="0" applyFont="1" applyBorder="1" applyAlignment="1">
      <alignment horizontal="center" vertical="center" wrapText="1"/>
    </xf>
    <xf numFmtId="0" fontId="12" fillId="0" borderId="105" xfId="0" applyFont="1" applyBorder="1" applyAlignment="1">
      <alignment horizontal="center" vertical="center" wrapText="1"/>
    </xf>
    <xf numFmtId="0" fontId="12" fillId="0" borderId="112" xfId="0" applyFont="1" applyBorder="1" applyAlignment="1">
      <alignment horizontal="center" vertical="center" wrapText="1"/>
    </xf>
    <xf numFmtId="0" fontId="12" fillId="40" borderId="111" xfId="0" applyFont="1" applyFill="1" applyBorder="1" applyAlignment="1">
      <alignment horizontal="center" vertical="center" wrapText="1"/>
    </xf>
    <xf numFmtId="0" fontId="12" fillId="40" borderId="105" xfId="0" applyFont="1" applyFill="1" applyBorder="1" applyAlignment="1">
      <alignment horizontal="center" vertical="center" wrapText="1"/>
    </xf>
    <xf numFmtId="0" fontId="12" fillId="40" borderId="112" xfId="0" applyFont="1" applyFill="1" applyBorder="1" applyAlignment="1">
      <alignment horizontal="center" vertical="center" wrapText="1"/>
    </xf>
    <xf numFmtId="0" fontId="99" fillId="40" borderId="111" xfId="0" applyFont="1" applyFill="1" applyBorder="1" applyAlignment="1">
      <alignment horizontal="center" vertical="center" wrapText="1"/>
    </xf>
    <xf numFmtId="0" fontId="99" fillId="40" borderId="105" xfId="0" applyFont="1" applyFill="1" applyBorder="1" applyAlignment="1">
      <alignment horizontal="center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4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100" fillId="40" borderId="111" xfId="0" applyFont="1" applyFill="1" applyBorder="1" applyAlignment="1">
      <alignment horizontal="center" vertical="center" wrapText="1"/>
    </xf>
    <xf numFmtId="0" fontId="77" fillId="40" borderId="105" xfId="0" applyFont="1" applyFill="1" applyBorder="1" applyAlignment="1">
      <alignment horizontal="center" vertical="center" wrapText="1"/>
    </xf>
    <xf numFmtId="0" fontId="77" fillId="40" borderId="112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 indent="1"/>
    </xf>
    <xf numFmtId="2" fontId="7" fillId="0" borderId="37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9" fontId="7" fillId="0" borderId="77" xfId="0" applyNumberFormat="1" applyFont="1" applyBorder="1" applyAlignment="1">
      <alignment horizontal="left" vertical="center" indent="2"/>
    </xf>
    <xf numFmtId="9" fontId="7" fillId="0" borderId="47" xfId="0" applyNumberFormat="1" applyFont="1" applyBorder="1" applyAlignment="1">
      <alignment horizontal="left" vertical="center" indent="2"/>
    </xf>
    <xf numFmtId="165" fontId="7" fillId="0" borderId="24" xfId="786" applyFont="1" applyBorder="1" applyAlignment="1">
      <alignment vertical="center"/>
    </xf>
    <xf numFmtId="165" fontId="7" fillId="0" borderId="25" xfId="786" applyFont="1" applyBorder="1" applyAlignment="1">
      <alignment vertical="center"/>
    </xf>
    <xf numFmtId="165" fontId="7" fillId="0" borderId="26" xfId="786" applyFont="1" applyBorder="1" applyAlignment="1">
      <alignment vertical="center"/>
    </xf>
    <xf numFmtId="165" fontId="11" fillId="0" borderId="24" xfId="786" applyFont="1" applyBorder="1" applyAlignment="1">
      <alignment vertical="center"/>
    </xf>
    <xf numFmtId="165" fontId="11" fillId="0" borderId="25" xfId="786" applyFont="1" applyBorder="1" applyAlignment="1">
      <alignment vertical="center"/>
    </xf>
    <xf numFmtId="165" fontId="11" fillId="0" borderId="26" xfId="786" applyFont="1" applyBorder="1" applyAlignment="1">
      <alignment vertical="center"/>
    </xf>
    <xf numFmtId="39" fontId="7" fillId="0" borderId="37" xfId="786" applyNumberFormat="1" applyFont="1" applyBorder="1" applyAlignment="1">
      <alignment horizontal="center" vertical="center"/>
    </xf>
    <xf numFmtId="39" fontId="7" fillId="0" borderId="33" xfId="786" applyNumberFormat="1" applyFont="1" applyBorder="1" applyAlignment="1">
      <alignment horizontal="center" vertical="center"/>
    </xf>
    <xf numFmtId="39" fontId="7" fillId="0" borderId="38" xfId="786" applyNumberFormat="1" applyFont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26" xfId="0" applyNumberFormat="1" applyFont="1" applyFill="1" applyBorder="1" applyAlignment="1">
      <alignment horizontal="center" vertical="center"/>
    </xf>
    <xf numFmtId="9" fontId="7" fillId="0" borderId="24" xfId="0" applyNumberFormat="1" applyFont="1" applyBorder="1" applyAlignment="1">
      <alignment horizontal="center" vertical="center"/>
    </xf>
    <xf numFmtId="9" fontId="7" fillId="0" borderId="25" xfId="0" applyNumberFormat="1" applyFont="1" applyBorder="1" applyAlignment="1">
      <alignment horizontal="center" vertical="center"/>
    </xf>
    <xf numFmtId="9" fontId="7" fillId="0" borderId="26" xfId="0" applyNumberFormat="1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10" fontId="7" fillId="0" borderId="24" xfId="0" applyNumberFormat="1" applyFont="1" applyBorder="1" applyAlignment="1">
      <alignment horizontal="center" vertical="center"/>
    </xf>
    <xf numFmtId="10" fontId="7" fillId="0" borderId="25" xfId="0" applyNumberFormat="1" applyFont="1" applyBorder="1" applyAlignment="1">
      <alignment horizontal="center" vertical="center"/>
    </xf>
    <xf numFmtId="10" fontId="7" fillId="0" borderId="26" xfId="0" applyNumberFormat="1" applyFont="1" applyBorder="1" applyAlignment="1">
      <alignment horizontal="center" vertical="center"/>
    </xf>
    <xf numFmtId="0" fontId="7" fillId="0" borderId="39" xfId="0" applyFont="1" applyBorder="1" applyAlignment="1">
      <alignment horizontal="left" vertical="center" indent="1"/>
    </xf>
    <xf numFmtId="0" fontId="7" fillId="0" borderId="76" xfId="0" applyFont="1" applyBorder="1" applyAlignment="1">
      <alignment horizontal="left" vertical="center" indent="1"/>
    </xf>
    <xf numFmtId="9" fontId="7" fillId="0" borderId="24" xfId="0" applyNumberFormat="1" applyFont="1" applyBorder="1" applyAlignment="1">
      <alignment horizontal="left" vertical="center" indent="2"/>
    </xf>
    <xf numFmtId="9" fontId="7" fillId="0" borderId="26" xfId="0" applyNumberFormat="1" applyFont="1" applyBorder="1" applyAlignment="1">
      <alignment horizontal="left" vertical="center" indent="2"/>
    </xf>
    <xf numFmtId="181" fontId="7" fillId="0" borderId="77" xfId="0" applyNumberFormat="1" applyFont="1" applyBorder="1" applyAlignment="1">
      <alignment horizontal="center" vertical="center"/>
    </xf>
    <xf numFmtId="181" fontId="7" fillId="0" borderId="45" xfId="0" applyNumberFormat="1" applyFont="1" applyBorder="1" applyAlignment="1">
      <alignment horizontal="center" vertical="center"/>
    </xf>
    <xf numFmtId="181" fontId="7" fillId="0" borderId="47" xfId="0" applyNumberFormat="1" applyFont="1" applyBorder="1" applyAlignment="1">
      <alignment horizontal="center" vertical="center"/>
    </xf>
    <xf numFmtId="4" fontId="7" fillId="0" borderId="75" xfId="0" applyNumberFormat="1" applyFont="1" applyFill="1" applyBorder="1" applyAlignment="1">
      <alignment horizontal="center" vertical="center"/>
    </xf>
    <xf numFmtId="4" fontId="7" fillId="0" borderId="71" xfId="0" applyNumberFormat="1" applyFont="1" applyFill="1" applyBorder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75" xfId="0" applyFont="1" applyBorder="1" applyAlignment="1">
      <alignment horizontal="left" vertical="center" wrapText="1" indent="1"/>
    </xf>
    <xf numFmtId="0" fontId="7" fillId="0" borderId="49" xfId="0" applyFont="1" applyBorder="1" applyAlignment="1">
      <alignment horizontal="left" vertical="center" wrapText="1" indent="1"/>
    </xf>
    <xf numFmtId="0" fontId="7" fillId="0" borderId="39" xfId="0" applyFont="1" applyBorder="1" applyAlignment="1">
      <alignment horizontal="left" vertical="center" wrapText="1" indent="1"/>
    </xf>
    <xf numFmtId="0" fontId="7" fillId="0" borderId="76" xfId="0" applyFont="1" applyBorder="1" applyAlignment="1">
      <alignment horizontal="left" vertical="center" wrapText="1" indent="1"/>
    </xf>
    <xf numFmtId="0" fontId="7" fillId="0" borderId="77" xfId="0" applyFont="1" applyBorder="1" applyAlignment="1">
      <alignment horizontal="left" vertical="center" wrapText="1" indent="1"/>
    </xf>
    <xf numFmtId="0" fontId="7" fillId="0" borderId="47" xfId="0" applyFont="1" applyBorder="1" applyAlignment="1">
      <alignment horizontal="left" vertical="center" wrapText="1" indent="1"/>
    </xf>
    <xf numFmtId="0" fontId="7" fillId="0" borderId="75" xfId="0" applyFont="1" applyBorder="1" applyAlignment="1">
      <alignment horizontal="left" vertical="center" indent="1"/>
    </xf>
    <xf numFmtId="0" fontId="7" fillId="0" borderId="49" xfId="0" applyFont="1" applyBorder="1" applyAlignment="1">
      <alignment horizontal="left" vertical="center" indent="1"/>
    </xf>
    <xf numFmtId="182" fontId="7" fillId="0" borderId="24" xfId="0" applyNumberFormat="1" applyFont="1" applyFill="1" applyBorder="1" applyAlignment="1">
      <alignment horizontal="center" vertical="center"/>
    </xf>
    <xf numFmtId="182" fontId="7" fillId="0" borderId="25" xfId="0" applyNumberFormat="1" applyFont="1" applyFill="1" applyBorder="1" applyAlignment="1">
      <alignment horizontal="center" vertical="center"/>
    </xf>
    <xf numFmtId="182" fontId="7" fillId="0" borderId="26" xfId="0" applyNumberFormat="1" applyFont="1" applyFill="1" applyBorder="1" applyAlignment="1">
      <alignment horizontal="center" vertical="center"/>
    </xf>
    <xf numFmtId="182" fontId="7" fillId="0" borderId="24" xfId="0" applyNumberFormat="1" applyFont="1" applyBorder="1" applyAlignment="1">
      <alignment horizontal="center" vertical="center"/>
    </xf>
    <xf numFmtId="182" fontId="7" fillId="0" borderId="25" xfId="0" applyNumberFormat="1" applyFont="1" applyBorder="1" applyAlignment="1">
      <alignment horizontal="center" vertical="center"/>
    </xf>
    <xf numFmtId="182" fontId="7" fillId="0" borderId="26" xfId="0" applyNumberFormat="1" applyFont="1" applyBorder="1" applyAlignment="1">
      <alignment horizontal="center"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4" fillId="0" borderId="75" xfId="0" applyFont="1" applyBorder="1" applyAlignment="1">
      <alignment horizontal="center" vertical="center" wrapText="1"/>
    </xf>
    <xf numFmtId="0" fontId="64" fillId="0" borderId="71" xfId="0" applyFont="1" applyBorder="1" applyAlignment="1">
      <alignment horizontal="center" vertical="center" wrapText="1"/>
    </xf>
    <xf numFmtId="0" fontId="64" fillId="0" borderId="49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0" fontId="64" fillId="0" borderId="76" xfId="0" applyFont="1" applyBorder="1" applyAlignment="1">
      <alignment horizontal="center" vertical="center" wrapText="1"/>
    </xf>
    <xf numFmtId="0" fontId="64" fillId="0" borderId="77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 wrapText="1"/>
    </xf>
    <xf numFmtId="0" fontId="64" fillId="0" borderId="47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wrapText="1"/>
    </xf>
    <xf numFmtId="0" fontId="8" fillId="0" borderId="71" xfId="0" applyFont="1" applyBorder="1" applyAlignment="1">
      <alignment horizontal="center" wrapText="1"/>
    </xf>
    <xf numFmtId="0" fontId="8" fillId="0" borderId="49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4" fillId="0" borderId="75" xfId="0" applyFont="1" applyBorder="1" applyAlignment="1">
      <alignment horizontal="center" vertical="center"/>
    </xf>
    <xf numFmtId="0" fontId="64" fillId="0" borderId="71" xfId="0" applyFont="1" applyBorder="1" applyAlignment="1">
      <alignment horizontal="center" vertical="center"/>
    </xf>
    <xf numFmtId="0" fontId="64" fillId="0" borderId="49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76" xfId="0" applyFont="1" applyBorder="1" applyAlignment="1">
      <alignment horizontal="center" vertical="center"/>
    </xf>
    <xf numFmtId="0" fontId="64" fillId="0" borderId="77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47" xfId="0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81" fontId="7" fillId="0" borderId="24" xfId="0" applyNumberFormat="1" applyFont="1" applyBorder="1" applyAlignment="1">
      <alignment horizontal="center" vertical="center"/>
    </xf>
    <xf numFmtId="181" fontId="7" fillId="0" borderId="25" xfId="0" applyNumberFormat="1" applyFont="1" applyBorder="1" applyAlignment="1">
      <alignment horizontal="center" vertical="center"/>
    </xf>
    <xf numFmtId="181" fontId="7" fillId="0" borderId="26" xfId="0" applyNumberFormat="1" applyFont="1" applyBorder="1" applyAlignment="1">
      <alignment horizontal="center" vertical="center"/>
    </xf>
    <xf numFmtId="4" fontId="7" fillId="0" borderId="24" xfId="581" applyNumberFormat="1" applyFont="1" applyBorder="1" applyAlignment="1">
      <alignment horizontal="center" vertical="center"/>
    </xf>
    <xf numFmtId="4" fontId="7" fillId="0" borderId="25" xfId="581" applyNumberFormat="1" applyFont="1" applyBorder="1" applyAlignment="1">
      <alignment horizontal="center" vertical="center"/>
    </xf>
    <xf numFmtId="4" fontId="7" fillId="0" borderId="26" xfId="58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5" fillId="37" borderId="24" xfId="0" applyNumberFormat="1" applyFont="1" applyFill="1" applyBorder="1" applyAlignment="1">
      <alignment horizontal="left" vertical="center" wrapText="1"/>
    </xf>
    <xf numFmtId="3" fontId="5" fillId="37" borderId="25" xfId="0" applyNumberFormat="1" applyFont="1" applyFill="1" applyBorder="1" applyAlignment="1">
      <alignment horizontal="left" vertical="center" wrapText="1"/>
    </xf>
    <xf numFmtId="3" fontId="5" fillId="37" borderId="26" xfId="0" applyNumberFormat="1" applyFont="1" applyFill="1" applyBorder="1" applyAlignment="1">
      <alignment horizontal="left" vertical="center" wrapText="1"/>
    </xf>
    <xf numFmtId="3" fontId="66" fillId="0" borderId="21" xfId="0" applyNumberFormat="1" applyFont="1" applyBorder="1" applyAlignment="1">
      <alignment horizontal="center" vertical="center"/>
    </xf>
    <xf numFmtId="3" fontId="66" fillId="0" borderId="21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3" fontId="65" fillId="0" borderId="38" xfId="0" applyNumberFormat="1" applyFont="1" applyBorder="1" applyAlignment="1">
      <alignment horizontal="center" vertical="center"/>
    </xf>
    <xf numFmtId="3" fontId="65" fillId="0" borderId="77" xfId="0" applyNumberFormat="1" applyFont="1" applyBorder="1" applyAlignment="1">
      <alignment horizontal="center" vertical="center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47" xfId="0" applyNumberFormat="1" applyFont="1" applyBorder="1" applyAlignment="1">
      <alignment horizontal="center" vertical="center" wrapText="1"/>
    </xf>
    <xf numFmtId="3" fontId="2" fillId="0" borderId="24" xfId="0" quotePrefix="1" applyNumberFormat="1" applyFont="1" applyBorder="1" applyAlignment="1">
      <alignment horizontal="center" vertical="center"/>
    </xf>
    <xf numFmtId="3" fontId="2" fillId="0" borderId="25" xfId="0" quotePrefix="1" applyNumberFormat="1" applyFont="1" applyBorder="1" applyAlignment="1">
      <alignment horizontal="center" vertical="center"/>
    </xf>
    <xf numFmtId="3" fontId="2" fillId="0" borderId="26" xfId="0" quotePrefix="1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3" fillId="37" borderId="24" xfId="0" applyFont="1" applyFill="1" applyBorder="1" applyAlignment="1">
      <alignment horizontal="left" wrapText="1"/>
    </xf>
    <xf numFmtId="0" fontId="3" fillId="37" borderId="25" xfId="0" applyFont="1" applyFill="1" applyBorder="1" applyAlignment="1">
      <alignment horizontal="left" wrapText="1"/>
    </xf>
    <xf numFmtId="0" fontId="3" fillId="37" borderId="26" xfId="0" applyFont="1" applyFill="1" applyBorder="1" applyAlignment="1">
      <alignment horizontal="left" wrapText="1"/>
    </xf>
    <xf numFmtId="165" fontId="6" fillId="37" borderId="21" xfId="786" applyFont="1" applyFill="1" applyBorder="1" applyAlignment="1">
      <alignment horizontal="center" vertical="center" wrapText="1"/>
    </xf>
    <xf numFmtId="0" fontId="0" fillId="37" borderId="33" xfId="0" applyFill="1" applyBorder="1" applyAlignment="1">
      <alignment horizontal="center"/>
    </xf>
    <xf numFmtId="0" fontId="0" fillId="37" borderId="38" xfId="0" applyFill="1" applyBorder="1" applyAlignment="1">
      <alignment horizontal="center"/>
    </xf>
    <xf numFmtId="0" fontId="3" fillId="37" borderId="24" xfId="0" applyFont="1" applyFill="1" applyBorder="1" applyAlignment="1">
      <alignment horizontal="left"/>
    </xf>
    <xf numFmtId="0" fontId="3" fillId="37" borderId="25" xfId="0" applyFont="1" applyFill="1" applyBorder="1" applyAlignment="1">
      <alignment horizontal="left"/>
    </xf>
    <xf numFmtId="0" fontId="3" fillId="37" borderId="26" xfId="0" applyFont="1" applyFill="1" applyBorder="1" applyAlignment="1">
      <alignment horizontal="left"/>
    </xf>
    <xf numFmtId="0" fontId="61" fillId="0" borderId="75" xfId="0" applyFont="1" applyBorder="1" applyAlignment="1">
      <alignment horizontal="center" vertical="center"/>
    </xf>
    <xf numFmtId="0" fontId="61" fillId="0" borderId="71" xfId="0" applyFont="1" applyBorder="1" applyAlignment="1">
      <alignment horizontal="center" vertical="center"/>
    </xf>
    <xf numFmtId="0" fontId="61" fillId="0" borderId="49" xfId="0" applyFont="1" applyBorder="1" applyAlignment="1">
      <alignment horizontal="center" vertical="center"/>
    </xf>
    <xf numFmtId="0" fontId="61" fillId="0" borderId="77" xfId="0" applyFont="1" applyBorder="1" applyAlignment="1">
      <alignment horizontal="center" vertical="center"/>
    </xf>
    <xf numFmtId="0" fontId="61" fillId="0" borderId="45" xfId="0" applyFont="1" applyBorder="1" applyAlignment="1">
      <alignment horizontal="center" vertical="center"/>
    </xf>
    <xf numFmtId="0" fontId="61" fillId="0" borderId="47" xfId="0" applyFont="1" applyBorder="1" applyAlignment="1">
      <alignment horizontal="center" vertical="center"/>
    </xf>
    <xf numFmtId="165" fontId="6" fillId="37" borderId="75" xfId="786" applyFont="1" applyFill="1" applyBorder="1" applyAlignment="1">
      <alignment horizontal="center" vertical="center" wrapText="1"/>
    </xf>
    <xf numFmtId="165" fontId="6" fillId="37" borderId="49" xfId="786" applyFont="1" applyFill="1" applyBorder="1" applyAlignment="1">
      <alignment horizontal="center" vertical="center" wrapText="1"/>
    </xf>
    <xf numFmtId="165" fontId="6" fillId="37" borderId="77" xfId="786" applyFont="1" applyFill="1" applyBorder="1" applyAlignment="1">
      <alignment horizontal="center" vertical="center" wrapText="1"/>
    </xf>
    <xf numFmtId="165" fontId="6" fillId="37" borderId="47" xfId="786" applyFont="1" applyFill="1" applyBorder="1" applyAlignment="1">
      <alignment horizontal="center" vertical="center" wrapText="1"/>
    </xf>
    <xf numFmtId="165" fontId="1" fillId="41" borderId="75" xfId="786" applyFont="1" applyFill="1" applyBorder="1" applyAlignment="1">
      <alignment horizontal="center" vertical="center"/>
    </xf>
    <xf numFmtId="165" fontId="1" fillId="41" borderId="71" xfId="786" applyFont="1" applyFill="1" applyBorder="1" applyAlignment="1">
      <alignment horizontal="center" vertical="center"/>
    </xf>
    <xf numFmtId="165" fontId="1" fillId="41" borderId="49" xfId="786" applyFont="1" applyFill="1" applyBorder="1" applyAlignment="1">
      <alignment horizontal="center" vertical="center"/>
    </xf>
    <xf numFmtId="165" fontId="1" fillId="41" borderId="39" xfId="786" applyFont="1" applyFill="1" applyBorder="1" applyAlignment="1">
      <alignment horizontal="center" vertical="center"/>
    </xf>
    <xf numFmtId="165" fontId="1" fillId="41" borderId="0" xfId="786" applyFont="1" applyFill="1" applyBorder="1" applyAlignment="1">
      <alignment horizontal="center" vertical="center"/>
    </xf>
    <xf numFmtId="165" fontId="1" fillId="41" borderId="76" xfId="786" applyFont="1" applyFill="1" applyBorder="1" applyAlignment="1">
      <alignment horizontal="center" vertical="center"/>
    </xf>
    <xf numFmtId="165" fontId="1" fillId="41" borderId="77" xfId="786" applyFont="1" applyFill="1" applyBorder="1" applyAlignment="1">
      <alignment horizontal="center" vertical="center"/>
    </xf>
    <xf numFmtId="165" fontId="1" fillId="41" borderId="45" xfId="786" applyFont="1" applyFill="1" applyBorder="1" applyAlignment="1">
      <alignment horizontal="center" vertical="center"/>
    </xf>
    <xf numFmtId="165" fontId="1" fillId="41" borderId="47" xfId="786" applyFont="1" applyFill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 wrapText="1"/>
    </xf>
    <xf numFmtId="1" fontId="5" fillId="37" borderId="30" xfId="0" applyNumberFormat="1" applyFont="1" applyFill="1" applyBorder="1" applyAlignment="1">
      <alignment horizontal="left"/>
    </xf>
    <xf numFmtId="0" fontId="5" fillId="37" borderId="31" xfId="0" applyFont="1" applyFill="1" applyBorder="1"/>
    <xf numFmtId="1" fontId="3" fillId="37" borderId="31" xfId="0" applyNumberFormat="1" applyFont="1" applyFill="1" applyBorder="1" applyAlignment="1">
      <alignment horizontal="left"/>
    </xf>
    <xf numFmtId="0" fontId="3" fillId="37" borderId="31" xfId="0" applyFont="1" applyFill="1" applyBorder="1"/>
    <xf numFmtId="0" fontId="3" fillId="37" borderId="32" xfId="0" applyFont="1" applyFill="1" applyBorder="1"/>
    <xf numFmtId="1" fontId="83" fillId="0" borderId="107" xfId="0" applyNumberFormat="1" applyFont="1" applyBorder="1" applyAlignment="1">
      <alignment horizontal="left"/>
    </xf>
    <xf numFmtId="0" fontId="83" fillId="0" borderId="105" xfId="0" applyFont="1" applyBorder="1"/>
    <xf numFmtId="0" fontId="83" fillId="0" borderId="106" xfId="0" applyFont="1" applyBorder="1"/>
    <xf numFmtId="1" fontId="60" fillId="37" borderId="22" xfId="0" applyNumberFormat="1" applyFont="1" applyFill="1" applyBorder="1" applyAlignment="1">
      <alignment horizontal="left"/>
    </xf>
    <xf numFmtId="1" fontId="60" fillId="37" borderId="0" xfId="0" applyNumberFormat="1" applyFont="1" applyFill="1" applyBorder="1" applyAlignment="1">
      <alignment horizontal="left"/>
    </xf>
    <xf numFmtId="1" fontId="60" fillId="37" borderId="27" xfId="0" applyNumberFormat="1" applyFont="1" applyFill="1" applyBorder="1" applyAlignment="1">
      <alignment horizontal="left"/>
    </xf>
    <xf numFmtId="1" fontId="3" fillId="37" borderId="22" xfId="0" applyNumberFormat="1" applyFont="1" applyFill="1" applyBorder="1" applyAlignment="1">
      <alignment horizontal="left" wrapText="1"/>
    </xf>
    <xf numFmtId="1" fontId="3" fillId="37" borderId="0" xfId="0" applyNumberFormat="1" applyFont="1" applyFill="1" applyBorder="1" applyAlignment="1">
      <alignment horizontal="left" wrapText="1"/>
    </xf>
    <xf numFmtId="1" fontId="3" fillId="37" borderId="27" xfId="0" applyNumberFormat="1" applyFont="1" applyFill="1" applyBorder="1" applyAlignment="1">
      <alignment horizontal="left" wrapText="1"/>
    </xf>
    <xf numFmtId="1" fontId="3" fillId="37" borderId="22" xfId="0" applyNumberFormat="1" applyFont="1" applyFill="1" applyBorder="1" applyAlignment="1">
      <alignment horizontal="left"/>
    </xf>
    <xf numFmtId="1" fontId="3" fillId="37" borderId="0" xfId="0" applyNumberFormat="1" applyFont="1" applyFill="1" applyBorder="1" applyAlignment="1">
      <alignment horizontal="left"/>
    </xf>
    <xf numFmtId="1" fontId="3" fillId="37" borderId="27" xfId="0" applyNumberFormat="1" applyFont="1" applyFill="1" applyBorder="1" applyAlignment="1">
      <alignment horizontal="left"/>
    </xf>
    <xf numFmtId="0" fontId="88" fillId="0" borderId="116" xfId="0" applyFont="1" applyBorder="1" applyAlignment="1">
      <alignment horizontal="center" vertical="center"/>
    </xf>
    <xf numFmtId="0" fontId="83" fillId="0" borderId="117" xfId="0" applyFont="1" applyBorder="1"/>
    <xf numFmtId="0" fontId="101" fillId="37" borderId="22" xfId="0" applyFont="1" applyFill="1" applyBorder="1" applyAlignment="1">
      <alignment horizontal="center" vertical="center"/>
    </xf>
    <xf numFmtId="0" fontId="101" fillId="37" borderId="0" xfId="0" applyFont="1" applyFill="1" applyBorder="1" applyAlignment="1">
      <alignment horizontal="center" vertical="center"/>
    </xf>
    <xf numFmtId="0" fontId="101" fillId="37" borderId="27" xfId="0" applyFont="1" applyFill="1" applyBorder="1" applyAlignment="1">
      <alignment horizontal="center" vertical="center"/>
    </xf>
    <xf numFmtId="0" fontId="101" fillId="37" borderId="23" xfId="0" applyFont="1" applyFill="1" applyBorder="1" applyAlignment="1">
      <alignment horizontal="center" vertical="center"/>
    </xf>
    <xf numFmtId="0" fontId="101" fillId="37" borderId="28" xfId="0" applyFont="1" applyFill="1" applyBorder="1" applyAlignment="1">
      <alignment horizontal="center" vertical="center"/>
    </xf>
    <xf numFmtId="0" fontId="101" fillId="37" borderId="29" xfId="0" applyFont="1" applyFill="1" applyBorder="1" applyAlignment="1">
      <alignment horizontal="center" vertical="center"/>
    </xf>
    <xf numFmtId="0" fontId="88" fillId="0" borderId="120" xfId="0" applyFont="1" applyBorder="1" applyAlignment="1">
      <alignment horizontal="center" vertical="center"/>
    </xf>
    <xf numFmtId="0" fontId="83" fillId="0" borderId="31" xfId="0" applyFont="1" applyBorder="1"/>
    <xf numFmtId="0" fontId="83" fillId="0" borderId="121" xfId="0" applyFont="1" applyBorder="1"/>
    <xf numFmtId="0" fontId="83" fillId="0" borderId="122" xfId="0" applyFont="1" applyBorder="1"/>
    <xf numFmtId="0" fontId="83" fillId="0" borderId="28" xfId="0" applyFont="1" applyBorder="1"/>
    <xf numFmtId="0" fontId="83" fillId="0" borderId="123" xfId="0" applyFont="1" applyBorder="1"/>
    <xf numFmtId="1" fontId="82" fillId="0" borderId="124" xfId="0" applyNumberFormat="1" applyFont="1" applyBorder="1" applyAlignment="1">
      <alignment horizontal="left"/>
    </xf>
    <xf numFmtId="0" fontId="83" fillId="0" borderId="125" xfId="0" applyFont="1" applyBorder="1"/>
    <xf numFmtId="0" fontId="83" fillId="0" borderId="126" xfId="0" applyFont="1" applyBorder="1"/>
    <xf numFmtId="1" fontId="83" fillId="37" borderId="23" xfId="0" applyNumberFormat="1" applyFont="1" applyFill="1" applyBorder="1" applyAlignment="1">
      <alignment horizontal="left"/>
    </xf>
    <xf numFmtId="0" fontId="83" fillId="37" borderId="28" xfId="0" applyFont="1" applyFill="1" applyBorder="1"/>
    <xf numFmtId="1" fontId="83" fillId="37" borderId="28" xfId="0" applyNumberFormat="1" applyFont="1" applyFill="1" applyBorder="1" applyAlignment="1">
      <alignment horizontal="left"/>
    </xf>
    <xf numFmtId="0" fontId="83" fillId="37" borderId="29" xfId="0" applyFont="1" applyFill="1" applyBorder="1"/>
    <xf numFmtId="1" fontId="83" fillId="36" borderId="107" xfId="0" applyNumberFormat="1" applyFont="1" applyFill="1" applyBorder="1" applyAlignment="1">
      <alignment horizontal="left"/>
    </xf>
    <xf numFmtId="0" fontId="83" fillId="36" borderId="105" xfId="0" applyFont="1" applyFill="1" applyBorder="1"/>
    <xf numFmtId="0" fontId="83" fillId="36" borderId="106" xfId="0" applyFont="1" applyFill="1" applyBorder="1"/>
    <xf numFmtId="1" fontId="82" fillId="0" borderId="107" xfId="0" applyNumberFormat="1" applyFont="1" applyBorder="1" applyAlignment="1">
      <alignment horizontal="left"/>
    </xf>
    <xf numFmtId="40" fontId="101" fillId="0" borderId="127" xfId="0" applyNumberFormat="1" applyFont="1" applyBorder="1" applyAlignment="1">
      <alignment horizontal="center" vertical="center"/>
    </xf>
    <xf numFmtId="0" fontId="83" fillId="0" borderId="128" xfId="0" applyFont="1" applyBorder="1"/>
    <xf numFmtId="1" fontId="85" fillId="36" borderId="107" xfId="0" applyNumberFormat="1" applyFont="1" applyFill="1" applyBorder="1" applyAlignment="1">
      <alignment horizontal="left"/>
    </xf>
    <xf numFmtId="0" fontId="85" fillId="36" borderId="105" xfId="0" applyFont="1" applyFill="1" applyBorder="1"/>
    <xf numFmtId="0" fontId="85" fillId="36" borderId="106" xfId="0" applyFont="1" applyFill="1" applyBorder="1"/>
    <xf numFmtId="1" fontId="83" fillId="0" borderId="105" xfId="0" applyNumberFormat="1" applyFont="1" applyBorder="1" applyAlignment="1">
      <alignment horizontal="left"/>
    </xf>
    <xf numFmtId="1" fontId="83" fillId="0" borderId="106" xfId="0" applyNumberFormat="1" applyFont="1" applyBorder="1" applyAlignment="1">
      <alignment horizontal="left"/>
    </xf>
    <xf numFmtId="166" fontId="101" fillId="0" borderId="129" xfId="0" applyNumberFormat="1" applyFont="1" applyBorder="1" applyAlignment="1">
      <alignment horizontal="center" vertical="center"/>
    </xf>
    <xf numFmtId="0" fontId="83" fillId="0" borderId="130" xfId="0" applyFont="1" applyBorder="1"/>
    <xf numFmtId="10" fontId="101" fillId="0" borderId="127" xfId="0" applyNumberFormat="1" applyFont="1" applyBorder="1" applyAlignment="1">
      <alignment horizontal="center" vertical="center"/>
    </xf>
    <xf numFmtId="10" fontId="83" fillId="0" borderId="128" xfId="0" applyNumberFormat="1" applyFont="1" applyBorder="1"/>
    <xf numFmtId="0" fontId="92" fillId="0" borderId="113" xfId="0" applyFont="1" applyBorder="1" applyAlignment="1">
      <alignment horizontal="center" vertical="center" wrapText="1"/>
    </xf>
    <xf numFmtId="0" fontId="83" fillId="0" borderId="114" xfId="0" applyFont="1" applyBorder="1"/>
    <xf numFmtId="0" fontId="83" fillId="0" borderId="118" xfId="0" applyFont="1" applyBorder="1"/>
    <xf numFmtId="0" fontId="83" fillId="0" borderId="22" xfId="0" applyFont="1" applyBorder="1"/>
    <xf numFmtId="0" fontId="83" fillId="0" borderId="0" xfId="0" applyFont="1" applyBorder="1"/>
    <xf numFmtId="0" fontId="83" fillId="0" borderId="119" xfId="0" applyFont="1" applyBorder="1"/>
    <xf numFmtId="0" fontId="102" fillId="37" borderId="0" xfId="0" applyFont="1" applyFill="1" applyBorder="1" applyAlignment="1">
      <alignment horizontal="center" vertical="center"/>
    </xf>
    <xf numFmtId="0" fontId="83" fillId="37" borderId="0" xfId="0" applyFont="1" applyFill="1" applyBorder="1"/>
    <xf numFmtId="10" fontId="91" fillId="37" borderId="0" xfId="0" applyNumberFormat="1" applyFont="1" applyFill="1" applyBorder="1" applyAlignment="1">
      <alignment horizontal="center" vertical="center"/>
    </xf>
    <xf numFmtId="0" fontId="90" fillId="37" borderId="0" xfId="0" applyFont="1" applyFill="1" applyBorder="1"/>
    <xf numFmtId="0" fontId="92" fillId="37" borderId="0" xfId="0" applyFont="1" applyFill="1" applyBorder="1" applyAlignment="1">
      <alignment horizontal="center" vertical="center"/>
    </xf>
    <xf numFmtId="1" fontId="83" fillId="37" borderId="41" xfId="0" applyNumberFormat="1" applyFont="1" applyFill="1" applyBorder="1" applyAlignment="1">
      <alignment horizontal="left"/>
    </xf>
    <xf numFmtId="0" fontId="83" fillId="37" borderId="21" xfId="0" applyFont="1" applyFill="1" applyBorder="1"/>
    <xf numFmtId="1" fontId="83" fillId="37" borderId="21" xfId="0" applyNumberFormat="1" applyFont="1" applyFill="1" applyBorder="1" applyAlignment="1">
      <alignment horizontal="left"/>
    </xf>
    <xf numFmtId="0" fontId="83" fillId="37" borderId="34" xfId="0" applyFont="1" applyFill="1" applyBorder="1"/>
    <xf numFmtId="1" fontId="101" fillId="37" borderId="41" xfId="0" applyNumberFormat="1" applyFont="1" applyFill="1" applyBorder="1" applyAlignment="1">
      <alignment horizontal="left" wrapText="1"/>
    </xf>
    <xf numFmtId="1" fontId="101" fillId="37" borderId="21" xfId="0" applyNumberFormat="1" applyFont="1" applyFill="1" applyBorder="1" applyAlignment="1">
      <alignment horizontal="left" wrapText="1"/>
    </xf>
    <xf numFmtId="1" fontId="101" fillId="37" borderId="34" xfId="0" applyNumberFormat="1" applyFont="1" applyFill="1" applyBorder="1" applyAlignment="1">
      <alignment horizontal="left" wrapText="1"/>
    </xf>
    <xf numFmtId="1" fontId="101" fillId="37" borderId="41" xfId="0" applyNumberFormat="1" applyFont="1" applyFill="1" applyBorder="1" applyAlignment="1">
      <alignment horizontal="left"/>
    </xf>
    <xf numFmtId="1" fontId="101" fillId="37" borderId="21" xfId="0" applyNumberFormat="1" applyFont="1" applyFill="1" applyBorder="1" applyAlignment="1">
      <alignment horizontal="left"/>
    </xf>
    <xf numFmtId="1" fontId="101" fillId="37" borderId="34" xfId="0" applyNumberFormat="1" applyFont="1" applyFill="1" applyBorder="1" applyAlignment="1">
      <alignment horizontal="left"/>
    </xf>
    <xf numFmtId="1" fontId="101" fillId="37" borderId="67" xfId="0" applyNumberFormat="1" applyFont="1" applyFill="1" applyBorder="1" applyAlignment="1">
      <alignment horizontal="left"/>
    </xf>
    <xf numFmtId="0" fontId="101" fillId="37" borderId="81" xfId="0" applyFont="1" applyFill="1" applyBorder="1"/>
    <xf numFmtId="1" fontId="101" fillId="37" borderId="81" xfId="0" applyNumberFormat="1" applyFont="1" applyFill="1" applyBorder="1" applyAlignment="1">
      <alignment horizontal="left"/>
    </xf>
    <xf numFmtId="0" fontId="101" fillId="37" borderId="92" xfId="0" applyFont="1" applyFill="1" applyBorder="1"/>
    <xf numFmtId="0" fontId="101" fillId="37" borderId="21" xfId="0" applyFont="1" applyFill="1" applyBorder="1"/>
    <xf numFmtId="0" fontId="101" fillId="37" borderId="34" xfId="0" applyFont="1" applyFill="1" applyBorder="1"/>
    <xf numFmtId="0" fontId="2" fillId="33" borderId="24" xfId="0" applyFont="1" applyFill="1" applyBorder="1" applyAlignment="1">
      <alignment horizontal="left"/>
    </xf>
    <xf numFmtId="0" fontId="2" fillId="33" borderId="26" xfId="0" applyFont="1" applyFill="1" applyBorder="1" applyAlignment="1">
      <alignment horizontal="left"/>
    </xf>
    <xf numFmtId="0" fontId="2" fillId="37" borderId="21" xfId="0" applyFont="1" applyFill="1" applyBorder="1" applyAlignment="1">
      <alignment horizontal="center" vertical="center"/>
    </xf>
    <xf numFmtId="0" fontId="5" fillId="33" borderId="24" xfId="0" applyFont="1" applyFill="1" applyBorder="1" applyAlignment="1">
      <alignment horizontal="center" vertical="center"/>
    </xf>
    <xf numFmtId="0" fontId="5" fillId="33" borderId="25" xfId="0" applyFont="1" applyFill="1" applyBorder="1" applyAlignment="1">
      <alignment horizontal="center" vertical="center"/>
    </xf>
    <xf numFmtId="0" fontId="5" fillId="33" borderId="26" xfId="0" applyFont="1" applyFill="1" applyBorder="1" applyAlignment="1">
      <alignment horizontal="center" vertical="center"/>
    </xf>
    <xf numFmtId="0" fontId="2" fillId="37" borderId="21" xfId="0" applyFont="1" applyFill="1" applyBorder="1" applyAlignment="1">
      <alignment horizontal="center"/>
    </xf>
    <xf numFmtId="0" fontId="2" fillId="33" borderId="24" xfId="0" applyFont="1" applyFill="1" applyBorder="1" applyAlignment="1">
      <alignment horizontal="center" vertical="center"/>
    </xf>
    <xf numFmtId="0" fontId="2" fillId="33" borderId="25" xfId="0" applyFont="1" applyFill="1" applyBorder="1" applyAlignment="1">
      <alignment horizontal="center" vertical="center"/>
    </xf>
    <xf numFmtId="0" fontId="2" fillId="33" borderId="2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33" borderId="21" xfId="0" applyFont="1" applyFill="1" applyBorder="1" applyAlignment="1">
      <alignment horizontal="left"/>
    </xf>
    <xf numFmtId="0" fontId="3" fillId="33" borderId="93" xfId="0" applyFont="1" applyFill="1" applyBorder="1" applyAlignment="1">
      <alignment horizontal="center"/>
    </xf>
    <xf numFmtId="0" fontId="3" fillId="33" borderId="52" xfId="0" applyFont="1" applyFill="1" applyBorder="1" applyAlignment="1">
      <alignment horizontal="center"/>
    </xf>
    <xf numFmtId="0" fontId="3" fillId="33" borderId="91" xfId="0" applyFont="1" applyFill="1" applyBorder="1" applyAlignment="1">
      <alignment horizontal="center"/>
    </xf>
    <xf numFmtId="0" fontId="2" fillId="33" borderId="35" xfId="0" applyFont="1" applyFill="1" applyBorder="1" applyAlignment="1">
      <alignment horizontal="center" vertical="center"/>
    </xf>
    <xf numFmtId="0" fontId="2" fillId="33" borderId="36" xfId="0" applyFont="1" applyFill="1" applyBorder="1" applyAlignment="1">
      <alignment horizontal="center" vertical="center"/>
    </xf>
  </cellXfs>
  <cellStyles count="823">
    <cellStyle name=" 1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2 2" xfId="9"/>
    <cellStyle name="20% - Ênfase1 2 3" xfId="10"/>
    <cellStyle name="20% - Ênfase1 2 4" xfId="11"/>
    <cellStyle name="20% - Ênfase1 2_Compo" xfId="12"/>
    <cellStyle name="20% - Ênfase1 3" xfId="13"/>
    <cellStyle name="20% - Ênfase1 4" xfId="14"/>
    <cellStyle name="20% - Ênfase1 5" xfId="15"/>
    <cellStyle name="20% - Ênfase2 2" xfId="16"/>
    <cellStyle name="20% - Ênfase2 2 2" xfId="17"/>
    <cellStyle name="20% - Ênfase2 2 3" xfId="18"/>
    <cellStyle name="20% - Ênfase2 2 4" xfId="19"/>
    <cellStyle name="20% - Ênfase2 2_Compo" xfId="20"/>
    <cellStyle name="20% - Ênfase2 3" xfId="21"/>
    <cellStyle name="20% - Ênfase2 4" xfId="22"/>
    <cellStyle name="20% - Ênfase2 5" xfId="23"/>
    <cellStyle name="20% - Ênfase3 2" xfId="24"/>
    <cellStyle name="20% - Ênfase3 2 2" xfId="25"/>
    <cellStyle name="20% - Ênfase3 2 3" xfId="26"/>
    <cellStyle name="20% - Ênfase3 2 4" xfId="27"/>
    <cellStyle name="20% - Ênfase3 2_Compo" xfId="28"/>
    <cellStyle name="20% - Ênfase3 3" xfId="29"/>
    <cellStyle name="20% - Ênfase3 4" xfId="30"/>
    <cellStyle name="20% - Ênfase3 5" xfId="31"/>
    <cellStyle name="20% - Ênfase4 2" xfId="32"/>
    <cellStyle name="20% - Ênfase4 2 2" xfId="33"/>
    <cellStyle name="20% - Ênfase4 2 3" xfId="34"/>
    <cellStyle name="20% - Ênfase4 2 4" xfId="35"/>
    <cellStyle name="20% - Ênfase4 2_Compo" xfId="36"/>
    <cellStyle name="20% - Ênfase4 3" xfId="37"/>
    <cellStyle name="20% - Ênfase4 4" xfId="38"/>
    <cellStyle name="20% - Ênfase4 5" xfId="39"/>
    <cellStyle name="20% - Ênfase5 2" xfId="40"/>
    <cellStyle name="20% - Ênfase5 2 2" xfId="41"/>
    <cellStyle name="20% - Ênfase5 2 3" xfId="42"/>
    <cellStyle name="20% - Ênfase5 2 4" xfId="43"/>
    <cellStyle name="20% - Ênfase5 2_Compo" xfId="44"/>
    <cellStyle name="20% - Ênfase5 3" xfId="45"/>
    <cellStyle name="20% - Ênfase5 4" xfId="46"/>
    <cellStyle name="20% - Ênfase5 5" xfId="47"/>
    <cellStyle name="20% - Ênfase6 2" xfId="48"/>
    <cellStyle name="20% - Ênfase6 2 2" xfId="49"/>
    <cellStyle name="20% - Ênfase6 2 3" xfId="50"/>
    <cellStyle name="20% - Ênfase6 2 4" xfId="51"/>
    <cellStyle name="20% - Ênfase6 2_Compo" xfId="52"/>
    <cellStyle name="20% - Ênfase6 3" xfId="53"/>
    <cellStyle name="20% - Ênfase6 4" xfId="54"/>
    <cellStyle name="20% - Ênfase6 5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Ênfase1 2" xfId="62"/>
    <cellStyle name="40% - Ênfase1 2 2" xfId="63"/>
    <cellStyle name="40% - Ênfase1 2 3" xfId="64"/>
    <cellStyle name="40% - Ênfase1 2 4" xfId="65"/>
    <cellStyle name="40% - Ênfase1 2_Compo" xfId="66"/>
    <cellStyle name="40% - Ênfase1 3" xfId="67"/>
    <cellStyle name="40% - Ênfase1 4" xfId="68"/>
    <cellStyle name="40% - Ênfase1 5" xfId="69"/>
    <cellStyle name="40% - Ênfase2 2" xfId="70"/>
    <cellStyle name="40% - Ênfase2 2 2" xfId="71"/>
    <cellStyle name="40% - Ênfase2 2 3" xfId="72"/>
    <cellStyle name="40% - Ênfase2 2 4" xfId="73"/>
    <cellStyle name="40% - Ênfase2 2_Compo" xfId="74"/>
    <cellStyle name="40% - Ênfase2 3" xfId="75"/>
    <cellStyle name="40% - Ênfase2 4" xfId="76"/>
    <cellStyle name="40% - Ênfase2 5" xfId="77"/>
    <cellStyle name="40% - Ênfase3 2" xfId="78"/>
    <cellStyle name="40% - Ênfase3 2 2" xfId="79"/>
    <cellStyle name="40% - Ênfase3 2 3" xfId="80"/>
    <cellStyle name="40% - Ênfase3 2 4" xfId="81"/>
    <cellStyle name="40% - Ênfase3 2_Compo" xfId="82"/>
    <cellStyle name="40% - Ênfase3 3" xfId="83"/>
    <cellStyle name="40% - Ênfase3 4" xfId="84"/>
    <cellStyle name="40% - Ênfase3 5" xfId="85"/>
    <cellStyle name="40% - Ênfase4 2" xfId="86"/>
    <cellStyle name="40% - Ênfase4 2 2" xfId="87"/>
    <cellStyle name="40% - Ênfase4 2 3" xfId="88"/>
    <cellStyle name="40% - Ênfase4 2 4" xfId="89"/>
    <cellStyle name="40% - Ênfase4 2_Compo" xfId="90"/>
    <cellStyle name="40% - Ênfase4 3" xfId="91"/>
    <cellStyle name="40% - Ênfase4 4" xfId="92"/>
    <cellStyle name="40% - Ênfase4 5" xfId="93"/>
    <cellStyle name="40% - Ênfase5 2" xfId="94"/>
    <cellStyle name="40% - Ênfase5 2 2" xfId="95"/>
    <cellStyle name="40% - Ênfase5 2 3" xfId="96"/>
    <cellStyle name="40% - Ênfase5 2 4" xfId="97"/>
    <cellStyle name="40% - Ênfase5 2_Compo" xfId="98"/>
    <cellStyle name="40% - Ênfase5 3" xfId="99"/>
    <cellStyle name="40% - Ênfase5 4" xfId="100"/>
    <cellStyle name="40% - Ênfase5 5" xfId="101"/>
    <cellStyle name="40% - Ênfase6 2" xfId="102"/>
    <cellStyle name="40% - Ênfase6 2 2" xfId="103"/>
    <cellStyle name="40% - Ênfase6 2 3" xfId="104"/>
    <cellStyle name="40% - Ênfase6 2 4" xfId="105"/>
    <cellStyle name="40% - Ênfase6 2_Compo" xfId="106"/>
    <cellStyle name="40% - Ênfase6 3" xfId="107"/>
    <cellStyle name="40% - Ênfase6 4" xfId="108"/>
    <cellStyle name="40% - Ênfase6 5" xfId="109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Ênfase1 2" xfId="116"/>
    <cellStyle name="60% - Ênfase1 2 2" xfId="117"/>
    <cellStyle name="60% - Ênfase1 2 3" xfId="118"/>
    <cellStyle name="60% - Ênfase1 2_ORÇAMENTO - FORUM DE V. GRANDE" xfId="119"/>
    <cellStyle name="60% - Ênfase1 3" xfId="120"/>
    <cellStyle name="60% - Ênfase1 4" xfId="121"/>
    <cellStyle name="60% - Ênfase1 5" xfId="122"/>
    <cellStyle name="60% - Ênfase1 6" xfId="123"/>
    <cellStyle name="60% - Ênfase2 2" xfId="124"/>
    <cellStyle name="60% - Ênfase2 2 2" xfId="125"/>
    <cellStyle name="60% - Ênfase2 2 3" xfId="126"/>
    <cellStyle name="60% - Ênfase2 2_ORÇAMENTO - FORUM DE V. GRANDE" xfId="127"/>
    <cellStyle name="60% - Ênfase2 3" xfId="128"/>
    <cellStyle name="60% - Ênfase2 4" xfId="129"/>
    <cellStyle name="60% - Ênfase2 5" xfId="130"/>
    <cellStyle name="60% - Ênfase2 6" xfId="131"/>
    <cellStyle name="60% - Ênfase3 2" xfId="132"/>
    <cellStyle name="60% - Ênfase3 2 2" xfId="133"/>
    <cellStyle name="60% - Ênfase3 2 3" xfId="134"/>
    <cellStyle name="60% - Ênfase3 2_ORÇAMENTO - FORUM DE V. GRANDE" xfId="135"/>
    <cellStyle name="60% - Ênfase3 3" xfId="136"/>
    <cellStyle name="60% - Ênfase3 4" xfId="137"/>
    <cellStyle name="60% - Ênfase3 5" xfId="138"/>
    <cellStyle name="60% - Ênfase3 6" xfId="139"/>
    <cellStyle name="60% - Ênfase4 2" xfId="140"/>
    <cellStyle name="60% - Ênfase4 2 2" xfId="141"/>
    <cellStyle name="60% - Ênfase4 2 3" xfId="142"/>
    <cellStyle name="60% - Ênfase4 2_ORÇAMENTO - FORUM DE V. GRANDE" xfId="143"/>
    <cellStyle name="60% - Ênfase4 3" xfId="144"/>
    <cellStyle name="60% - Ênfase4 4" xfId="145"/>
    <cellStyle name="60% - Ênfase4 5" xfId="146"/>
    <cellStyle name="60% - Ênfase4 6" xfId="147"/>
    <cellStyle name="60% - Ênfase5 2" xfId="148"/>
    <cellStyle name="60% - Ênfase5 2 2" xfId="149"/>
    <cellStyle name="60% - Ênfase5 2 3" xfId="150"/>
    <cellStyle name="60% - Ênfase5 2_ORÇAMENTO - FORUM DE V. GRANDE" xfId="151"/>
    <cellStyle name="60% - Ênfase5 3" xfId="152"/>
    <cellStyle name="60% - Ênfase5 4" xfId="153"/>
    <cellStyle name="60% - Ênfase5 5" xfId="154"/>
    <cellStyle name="60% - Ênfase5 6" xfId="155"/>
    <cellStyle name="60% - Ênfase6 2" xfId="156"/>
    <cellStyle name="60% - Ênfase6 2 2" xfId="157"/>
    <cellStyle name="60% - Ênfase6 2 3" xfId="158"/>
    <cellStyle name="60% - Ênfase6 2_ORÇAMENTO - FORUM DE V. GRANDE" xfId="159"/>
    <cellStyle name="60% - Ênfase6 3" xfId="160"/>
    <cellStyle name="60% - Ênfase6 4" xfId="161"/>
    <cellStyle name="60% - Ênfase6 5" xfId="162"/>
    <cellStyle name="60% - Ênfase6 6" xfId="163"/>
    <cellStyle name="Accent1" xfId="164"/>
    <cellStyle name="Accent2" xfId="165"/>
    <cellStyle name="Accent3" xfId="166"/>
    <cellStyle name="Accent4" xfId="167"/>
    <cellStyle name="Accent5" xfId="168"/>
    <cellStyle name="Accent6" xfId="169"/>
    <cellStyle name="Bad" xfId="170"/>
    <cellStyle name="Bom 2" xfId="171"/>
    <cellStyle name="Bom 2 2" xfId="172"/>
    <cellStyle name="Bom 2 3" xfId="173"/>
    <cellStyle name="Bom 2_ORÇAMENTO - FORUM DE V. GRANDE" xfId="174"/>
    <cellStyle name="Bom 3" xfId="175"/>
    <cellStyle name="Bom 4" xfId="176"/>
    <cellStyle name="Bom 5" xfId="177"/>
    <cellStyle name="Bom 6" xfId="178"/>
    <cellStyle name="Calculation" xfId="179"/>
    <cellStyle name="Cálculo 2" xfId="180"/>
    <cellStyle name="Cálculo 2 2" xfId="181"/>
    <cellStyle name="Cálculo 2 3" xfId="182"/>
    <cellStyle name="Cálculo 2_CIVIL- BL 1-2-3-4-5-6-7-8 " xfId="183"/>
    <cellStyle name="Cálculo 3" xfId="184"/>
    <cellStyle name="Cálculo 4" xfId="185"/>
    <cellStyle name="Cálculo 5" xfId="186"/>
    <cellStyle name="Cálculo 6" xfId="187"/>
    <cellStyle name="Cancel" xfId="188"/>
    <cellStyle name="Célula de Verificação 2" xfId="189"/>
    <cellStyle name="Célula de Verificação 2 2" xfId="190"/>
    <cellStyle name="Célula de Verificação 2 3" xfId="191"/>
    <cellStyle name="Célula de Verificação 2_CIVIL- BL 1-2-3-4-5-6-7-8 " xfId="192"/>
    <cellStyle name="Célula de Verificação 3" xfId="193"/>
    <cellStyle name="Célula de Verificação 4" xfId="194"/>
    <cellStyle name="Célula de Verificação 5" xfId="195"/>
    <cellStyle name="Célula de Verificação 6" xfId="196"/>
    <cellStyle name="Célula Vinculada 2" xfId="197"/>
    <cellStyle name="Célula Vinculada 2 2" xfId="198"/>
    <cellStyle name="Célula Vinculada 2 3" xfId="199"/>
    <cellStyle name="Célula Vinculada 2_CIVIL- BL 1-2-3-4-5-6-7-8 " xfId="200"/>
    <cellStyle name="Célula Vinculada 3" xfId="201"/>
    <cellStyle name="Célula Vinculada 4" xfId="202"/>
    <cellStyle name="Célula Vinculada 5" xfId="203"/>
    <cellStyle name="Célula Vinculada 6" xfId="204"/>
    <cellStyle name="Comma0" xfId="205"/>
    <cellStyle name="Currency0" xfId="206"/>
    <cellStyle name="Ênfase1 2" xfId="207"/>
    <cellStyle name="Ênfase1 2 2" xfId="208"/>
    <cellStyle name="Ênfase1 2 3" xfId="209"/>
    <cellStyle name="Ênfase1 2_ORÇAMENTO - FORUM DE V. GRANDE" xfId="210"/>
    <cellStyle name="Ênfase1 3" xfId="211"/>
    <cellStyle name="Ênfase1 4" xfId="212"/>
    <cellStyle name="Ênfase1 5" xfId="213"/>
    <cellStyle name="Ênfase1 6" xfId="214"/>
    <cellStyle name="Ênfase2 2" xfId="215"/>
    <cellStyle name="Ênfase2 2 2" xfId="216"/>
    <cellStyle name="Ênfase2 2 3" xfId="217"/>
    <cellStyle name="Ênfase2 2_ORÇAMENTO - FORUM DE V. GRANDE" xfId="218"/>
    <cellStyle name="Ênfase2 3" xfId="219"/>
    <cellStyle name="Ênfase2 4" xfId="220"/>
    <cellStyle name="Ênfase2 5" xfId="221"/>
    <cellStyle name="Ênfase2 6" xfId="222"/>
    <cellStyle name="Ênfase3 2" xfId="223"/>
    <cellStyle name="Ênfase3 2 2" xfId="224"/>
    <cellStyle name="Ênfase3 2 3" xfId="225"/>
    <cellStyle name="Ênfase3 2_ORÇAMENTO - FORUM DE V. GRANDE" xfId="226"/>
    <cellStyle name="Ênfase3 3" xfId="227"/>
    <cellStyle name="Ênfase3 4" xfId="228"/>
    <cellStyle name="Ênfase3 5" xfId="229"/>
    <cellStyle name="Ênfase3 6" xfId="230"/>
    <cellStyle name="Ênfase4 2" xfId="231"/>
    <cellStyle name="Ênfase4 2 2" xfId="232"/>
    <cellStyle name="Ênfase4 2 3" xfId="233"/>
    <cellStyle name="Ênfase4 2_ORÇAMENTO - FORUM DE V. GRANDE" xfId="234"/>
    <cellStyle name="Ênfase4 3" xfId="235"/>
    <cellStyle name="Ênfase4 4" xfId="236"/>
    <cellStyle name="Ênfase4 5" xfId="237"/>
    <cellStyle name="Ênfase4 6" xfId="238"/>
    <cellStyle name="Ênfase5 2" xfId="239"/>
    <cellStyle name="Ênfase5 2 2" xfId="240"/>
    <cellStyle name="Ênfase5 2 3" xfId="241"/>
    <cellStyle name="Ênfase5 2_ORÇAMENTO - FORUM DE V. GRANDE" xfId="242"/>
    <cellStyle name="Ênfase5 3" xfId="243"/>
    <cellStyle name="Ênfase5 4" xfId="244"/>
    <cellStyle name="Ênfase5 5" xfId="245"/>
    <cellStyle name="Ênfase5 6" xfId="246"/>
    <cellStyle name="Ênfase6 2" xfId="247"/>
    <cellStyle name="Ênfase6 2 2" xfId="248"/>
    <cellStyle name="Ênfase6 2 3" xfId="249"/>
    <cellStyle name="Ênfase6 2_ORÇAMENTO - FORUM DE V. GRANDE" xfId="250"/>
    <cellStyle name="Ênfase6 3" xfId="251"/>
    <cellStyle name="Ênfase6 4" xfId="252"/>
    <cellStyle name="Ênfase6 5" xfId="253"/>
    <cellStyle name="Ênfase6 6" xfId="254"/>
    <cellStyle name="Entrada 2" xfId="255"/>
    <cellStyle name="Entrada 2 2" xfId="256"/>
    <cellStyle name="Entrada 2 3" xfId="257"/>
    <cellStyle name="Entrada 2_CIVIL- BL 1-2-3-4-5-6-7-8 " xfId="258"/>
    <cellStyle name="Entrada 3" xfId="259"/>
    <cellStyle name="Entrada 4" xfId="260"/>
    <cellStyle name="Entrada 5" xfId="261"/>
    <cellStyle name="Entrada 6" xfId="262"/>
    <cellStyle name="Estilo 1" xfId="263"/>
    <cellStyle name="Euro" xfId="264"/>
    <cellStyle name="Euro 2" xfId="265"/>
    <cellStyle name="Euro 2 2" xfId="266"/>
    <cellStyle name="Euro 3" xfId="267"/>
    <cellStyle name="Excel Built-in Normal" xfId="268"/>
    <cellStyle name="Excel Built-in Normal 1 1" xfId="269"/>
    <cellStyle name="Excel Built-in Normal 10 3" xfId="270"/>
    <cellStyle name="Excel Built-in Vírgula 6" xfId="271"/>
    <cellStyle name="Explanatory Text" xfId="272"/>
    <cellStyle name="Heading 1" xfId="273"/>
    <cellStyle name="Heading 2" xfId="274"/>
    <cellStyle name="Heading 3" xfId="275"/>
    <cellStyle name="Heading 4" xfId="276"/>
    <cellStyle name="Hiperlink" xfId="277" builtinId="8"/>
    <cellStyle name="Hiperlink 2" xfId="278"/>
    <cellStyle name="Hyperlink 2" xfId="279"/>
    <cellStyle name="Incorreto 2" xfId="280"/>
    <cellStyle name="Incorreto 2 2" xfId="281"/>
    <cellStyle name="Incorreto 2 3" xfId="282"/>
    <cellStyle name="Incorreto 2_ORÇAMENTO - FORUM DE V. GRANDE" xfId="283"/>
    <cellStyle name="Incorreto 3" xfId="284"/>
    <cellStyle name="Incorreto 4" xfId="285"/>
    <cellStyle name="Incorreto 5" xfId="286"/>
    <cellStyle name="Incorreto 6" xfId="287"/>
    <cellStyle name="Moeda" xfId="288" builtinId="4"/>
    <cellStyle name="Moeda 10" xfId="289"/>
    <cellStyle name="Moeda 2" xfId="290"/>
    <cellStyle name="Moeda 2 2" xfId="291"/>
    <cellStyle name="Moeda 2 3" xfId="292"/>
    <cellStyle name="Moeda 2_ORÇAMENTO - FORUM DE V. GRANDE" xfId="293"/>
    <cellStyle name="Moeda 24" xfId="294"/>
    <cellStyle name="Moeda 3" xfId="295"/>
    <cellStyle name="Moeda 4" xfId="296"/>
    <cellStyle name="Moeda 5" xfId="297"/>
    <cellStyle name="Moeda 6" xfId="298"/>
    <cellStyle name="Moeda 7" xfId="299"/>
    <cellStyle name="Moeda 8" xfId="300"/>
    <cellStyle name="Moeda 9" xfId="301"/>
    <cellStyle name="Neutra 2" xfId="302"/>
    <cellStyle name="Neutra 2 2" xfId="303"/>
    <cellStyle name="Neutra 2 3" xfId="304"/>
    <cellStyle name="Neutra 2_ORÇAMENTO - FORUM DE V. GRANDE" xfId="305"/>
    <cellStyle name="Neutra 3" xfId="306"/>
    <cellStyle name="Neutra 4" xfId="307"/>
    <cellStyle name="Neutra 5" xfId="308"/>
    <cellStyle name="Neutra 6" xfId="309"/>
    <cellStyle name="Normal" xfId="0" builtinId="0"/>
    <cellStyle name="Normal 10" xfId="310"/>
    <cellStyle name="Normal 10 2" xfId="311"/>
    <cellStyle name="Normal 10_Compo-Civil" xfId="312"/>
    <cellStyle name="Normal 100" xfId="806"/>
    <cellStyle name="Normal 101" xfId="807"/>
    <cellStyle name="Normal 102" xfId="808"/>
    <cellStyle name="Normal 103" xfId="809"/>
    <cellStyle name="Normal 104" xfId="810"/>
    <cellStyle name="Normal 105" xfId="811"/>
    <cellStyle name="Normal 106" xfId="812"/>
    <cellStyle name="Normal 107" xfId="813"/>
    <cellStyle name="Normal 108" xfId="814"/>
    <cellStyle name="Normal 109" xfId="815"/>
    <cellStyle name="Normal 11" xfId="313"/>
    <cellStyle name="Normal 11 2" xfId="314"/>
    <cellStyle name="Normal 11_Compo-Civil" xfId="315"/>
    <cellStyle name="Normal 110" xfId="816"/>
    <cellStyle name="Normal 111" xfId="817"/>
    <cellStyle name="Normal 112" xfId="818"/>
    <cellStyle name="Normal 113" xfId="819"/>
    <cellStyle name="Normal 114" xfId="820"/>
    <cellStyle name="Normal 115" xfId="821"/>
    <cellStyle name="Normal 116" xfId="822"/>
    <cellStyle name="Normal 12" xfId="316"/>
    <cellStyle name="Normal 12 2" xfId="317"/>
    <cellStyle name="Normal 12_Compo-Civil" xfId="318"/>
    <cellStyle name="Normal 13" xfId="319"/>
    <cellStyle name="Normal 13 2" xfId="320"/>
    <cellStyle name="Normal 13 2 2" xfId="321"/>
    <cellStyle name="Normal 13 2 3" xfId="322"/>
    <cellStyle name="Normal 13 2_Compo-Civil" xfId="323"/>
    <cellStyle name="Normal 13 3" xfId="324"/>
    <cellStyle name="Normal 13 4" xfId="325"/>
    <cellStyle name="Normal 13_Compo-Civil" xfId="326"/>
    <cellStyle name="Normal 14" xfId="327"/>
    <cellStyle name="Normal 14 2" xfId="328"/>
    <cellStyle name="Normal 14_Compo-Civil" xfId="329"/>
    <cellStyle name="Normal 15" xfId="330"/>
    <cellStyle name="Normal 15 2" xfId="331"/>
    <cellStyle name="Normal 15 2 2" xfId="332"/>
    <cellStyle name="Normal 15 2 3" xfId="333"/>
    <cellStyle name="Normal 15 2_Compo-Civil" xfId="334"/>
    <cellStyle name="Normal 15 3" xfId="335"/>
    <cellStyle name="Normal 15 4" xfId="336"/>
    <cellStyle name="Normal 15_Compo-Civil" xfId="337"/>
    <cellStyle name="Normal 16" xfId="338"/>
    <cellStyle name="Normal 16 2" xfId="339"/>
    <cellStyle name="Normal 16 2 2" xfId="340"/>
    <cellStyle name="Normal 16 2 3" xfId="341"/>
    <cellStyle name="Normal 16 2_Compo-Civil" xfId="342"/>
    <cellStyle name="Normal 16 3" xfId="343"/>
    <cellStyle name="Normal 16 4" xfId="344"/>
    <cellStyle name="Normal 16_Compo-Civil" xfId="345"/>
    <cellStyle name="Normal 17" xfId="346"/>
    <cellStyle name="Normal 17 2" xfId="347"/>
    <cellStyle name="Normal 17_Compo-Civil" xfId="348"/>
    <cellStyle name="Normal 18" xfId="349"/>
    <cellStyle name="Normal 18 2" xfId="350"/>
    <cellStyle name="Normal 18_Compo-Civil" xfId="351"/>
    <cellStyle name="Normal 19" xfId="352"/>
    <cellStyle name="Normal 19 2" xfId="353"/>
    <cellStyle name="Normal 19_Compo-Civil" xfId="354"/>
    <cellStyle name="Normal 2" xfId="355"/>
    <cellStyle name="Normal 2 10" xfId="356"/>
    <cellStyle name="Normal 2 2" xfId="357"/>
    <cellStyle name="Normal 2 2 2" xfId="358"/>
    <cellStyle name="Normal 2 2 2 2" xfId="359"/>
    <cellStyle name="Normal 2 2 2_ORÇAMENTO - FORUM DE V. GRANDE" xfId="360"/>
    <cellStyle name="Normal 2 2_Compo-Civil" xfId="361"/>
    <cellStyle name="Normal 2 3" xfId="362"/>
    <cellStyle name="Normal 2 4" xfId="363"/>
    <cellStyle name="Normal 2 5" xfId="364"/>
    <cellStyle name="Normal 2 6" xfId="365"/>
    <cellStyle name="Normal 2 7" xfId="366"/>
    <cellStyle name="Normal 2 8" xfId="367"/>
    <cellStyle name="Normal 2 9" xfId="368"/>
    <cellStyle name="Normal 20" xfId="369"/>
    <cellStyle name="Normal 20 2" xfId="370"/>
    <cellStyle name="Normal 20_Compo-Civil" xfId="371"/>
    <cellStyle name="Normal 21" xfId="372"/>
    <cellStyle name="Normal 21 2" xfId="373"/>
    <cellStyle name="Normal 21 3" xfId="374"/>
    <cellStyle name="Normal 21 4" xfId="375"/>
    <cellStyle name="Normal 21_Compo-Civil" xfId="376"/>
    <cellStyle name="Normal 22" xfId="377"/>
    <cellStyle name="Normal 22 2" xfId="378"/>
    <cellStyle name="Normal 22_Compo-Civil" xfId="379"/>
    <cellStyle name="Normal 23" xfId="380"/>
    <cellStyle name="Normal 23 2" xfId="381"/>
    <cellStyle name="Normal 23_Compo-Civil" xfId="382"/>
    <cellStyle name="Normal 24" xfId="383"/>
    <cellStyle name="Normal 24 2" xfId="384"/>
    <cellStyle name="Normal 24_Compo-Civil" xfId="385"/>
    <cellStyle name="Normal 25" xfId="386"/>
    <cellStyle name="Normal 25 2" xfId="387"/>
    <cellStyle name="Normal 25_Compo-Civil" xfId="388"/>
    <cellStyle name="Normal 26" xfId="389"/>
    <cellStyle name="Normal 26 2" xfId="390"/>
    <cellStyle name="Normal 26_Compo-Civil" xfId="391"/>
    <cellStyle name="Normal 27" xfId="392"/>
    <cellStyle name="Normal 27 2" xfId="393"/>
    <cellStyle name="Normal 27_Compo-Civil" xfId="394"/>
    <cellStyle name="Normal 28" xfId="395"/>
    <cellStyle name="Normal 28 2" xfId="396"/>
    <cellStyle name="Normal 28_Compo-Civil" xfId="397"/>
    <cellStyle name="Normal 29" xfId="398"/>
    <cellStyle name="Normal 3" xfId="796"/>
    <cellStyle name="Normal 3 2" xfId="399"/>
    <cellStyle name="Normal 3 3" xfId="400"/>
    <cellStyle name="Normal 3 4" xfId="401"/>
    <cellStyle name="Normal 30" xfId="402"/>
    <cellStyle name="Normal 31" xfId="403"/>
    <cellStyle name="Normal 32" xfId="404"/>
    <cellStyle name="Normal 33" xfId="405"/>
    <cellStyle name="Normal 34" xfId="406"/>
    <cellStyle name="Normal 35" xfId="407"/>
    <cellStyle name="Normal 36" xfId="408"/>
    <cellStyle name="Normal 37" xfId="409"/>
    <cellStyle name="Normal 38" xfId="410"/>
    <cellStyle name="Normal 39" xfId="411"/>
    <cellStyle name="Normal 4" xfId="797"/>
    <cellStyle name="Normal 4 10" xfId="412"/>
    <cellStyle name="Normal 4 2" xfId="413"/>
    <cellStyle name="Normal 4 2 2" xfId="414"/>
    <cellStyle name="Normal 4 2 3" xfId="415"/>
    <cellStyle name="Normal 4 2_Compo-Civil" xfId="416"/>
    <cellStyle name="Normal 4 3" xfId="417"/>
    <cellStyle name="Normal 4 4" xfId="418"/>
    <cellStyle name="Normal 4 5" xfId="419"/>
    <cellStyle name="Normal 4 6" xfId="420"/>
    <cellStyle name="Normal 4 7" xfId="421"/>
    <cellStyle name="Normal 4 8" xfId="422"/>
    <cellStyle name="Normal 4 9" xfId="423"/>
    <cellStyle name="Normal 4_ORÇAMENTO" xfId="424"/>
    <cellStyle name="Normal 40" xfId="425"/>
    <cellStyle name="Normal 41" xfId="426"/>
    <cellStyle name="Normal 42" xfId="427"/>
    <cellStyle name="Normal 43" xfId="428"/>
    <cellStyle name="Normal 44" xfId="429"/>
    <cellStyle name="Normal 45" xfId="430"/>
    <cellStyle name="Normal 46" xfId="431"/>
    <cellStyle name="Normal 47" xfId="432"/>
    <cellStyle name="Normal 48" xfId="433"/>
    <cellStyle name="Normal 49" xfId="434"/>
    <cellStyle name="Normal 5" xfId="435"/>
    <cellStyle name="Normal 5 2" xfId="436"/>
    <cellStyle name="Normal 5 3" xfId="437"/>
    <cellStyle name="Normal 5 4" xfId="438"/>
    <cellStyle name="Normal 5_Compo-Civil" xfId="439"/>
    <cellStyle name="Normal 50" xfId="440"/>
    <cellStyle name="Normal 51" xfId="441"/>
    <cellStyle name="Normal 52" xfId="442"/>
    <cellStyle name="Normal 53" xfId="443"/>
    <cellStyle name="Normal 54" xfId="444"/>
    <cellStyle name="Normal 55" xfId="445"/>
    <cellStyle name="Normal 56" xfId="446"/>
    <cellStyle name="Normal 57" xfId="447"/>
    <cellStyle name="Normal 58" xfId="448"/>
    <cellStyle name="Normal 59" xfId="449"/>
    <cellStyle name="Normal 6" xfId="450"/>
    <cellStyle name="Normal 6 2" xfId="451"/>
    <cellStyle name="Normal 6_Compo-Civil" xfId="452"/>
    <cellStyle name="Normal 60" xfId="453"/>
    <cellStyle name="Normal 61" xfId="454"/>
    <cellStyle name="Normal 62" xfId="455"/>
    <cellStyle name="Normal 63" xfId="456"/>
    <cellStyle name="Normal 64" xfId="457"/>
    <cellStyle name="Normal 65" xfId="458"/>
    <cellStyle name="Normal 66" xfId="459"/>
    <cellStyle name="Normal 67" xfId="460"/>
    <cellStyle name="Normal 68" xfId="461"/>
    <cellStyle name="Normal 69" xfId="462"/>
    <cellStyle name="Normal 7" xfId="463"/>
    <cellStyle name="Normal 7 2" xfId="464"/>
    <cellStyle name="Normal 7_Compo-Civil" xfId="465"/>
    <cellStyle name="Normal 70" xfId="466"/>
    <cellStyle name="Normal 71" xfId="467"/>
    <cellStyle name="Normal 72" xfId="468"/>
    <cellStyle name="Normal 73" xfId="469"/>
    <cellStyle name="Normal 74" xfId="470"/>
    <cellStyle name="Normal 75" xfId="471"/>
    <cellStyle name="Normal 76" xfId="472"/>
    <cellStyle name="Normal 77" xfId="473"/>
    <cellStyle name="Normal 78" xfId="474"/>
    <cellStyle name="Normal 79" xfId="475"/>
    <cellStyle name="Normal 8" xfId="476"/>
    <cellStyle name="Normal 8 2" xfId="477"/>
    <cellStyle name="Normal 8 3" xfId="478"/>
    <cellStyle name="Normal 8 4" xfId="479"/>
    <cellStyle name="Normal 8_Compo-Civil" xfId="480"/>
    <cellStyle name="Normal 80" xfId="481"/>
    <cellStyle name="Normal 81" xfId="482"/>
    <cellStyle name="Normal 82" xfId="483"/>
    <cellStyle name="Normal 83" xfId="484"/>
    <cellStyle name="Normal 84" xfId="485"/>
    <cellStyle name="Normal 85" xfId="486"/>
    <cellStyle name="Normal 86" xfId="487"/>
    <cellStyle name="Normal 87" xfId="488"/>
    <cellStyle name="Normal 88" xfId="489"/>
    <cellStyle name="Normal 89" xfId="490"/>
    <cellStyle name="Normal 9" xfId="491"/>
    <cellStyle name="Normal 9 2" xfId="492"/>
    <cellStyle name="Normal 9_Compo-Civil" xfId="493"/>
    <cellStyle name="Normal 90" xfId="494"/>
    <cellStyle name="Normal 91" xfId="495"/>
    <cellStyle name="Normal 92" xfId="798"/>
    <cellStyle name="Normal 93" xfId="799"/>
    <cellStyle name="Normal 94" xfId="800"/>
    <cellStyle name="Normal 95" xfId="801"/>
    <cellStyle name="Normal 96" xfId="802"/>
    <cellStyle name="Normal 97" xfId="803"/>
    <cellStyle name="Normal 98" xfId="804"/>
    <cellStyle name="Normal 99" xfId="805"/>
    <cellStyle name="Normal_5ª Medição 199" xfId="496"/>
    <cellStyle name="Normal_Geral" xfId="497"/>
    <cellStyle name="Normal_Mirassol" xfId="498"/>
    <cellStyle name="Normal_orcamento - lote 1 - aletarado CEF antoine - 05-05-2008" xfId="499"/>
    <cellStyle name="Normal_ORÇAMENTOS TRAVESSIAS" xfId="500"/>
    <cellStyle name="Normal_rol-rua2" xfId="501"/>
    <cellStyle name="Nota 10" xfId="502"/>
    <cellStyle name="Nota 10 2" xfId="503"/>
    <cellStyle name="Nota 11" xfId="504"/>
    <cellStyle name="Nota 11 2" xfId="505"/>
    <cellStyle name="Nota 12" xfId="506"/>
    <cellStyle name="Nota 12 2" xfId="507"/>
    <cellStyle name="Nota 13" xfId="508"/>
    <cellStyle name="Nota 13 2" xfId="509"/>
    <cellStyle name="Nota 14" xfId="510"/>
    <cellStyle name="Nota 14 2" xfId="511"/>
    <cellStyle name="Nota 15" xfId="512"/>
    <cellStyle name="Nota 15 2" xfId="513"/>
    <cellStyle name="Nota 16" xfId="514"/>
    <cellStyle name="Nota 16 2" xfId="515"/>
    <cellStyle name="Nota 17" xfId="516"/>
    <cellStyle name="Nota 17 2" xfId="517"/>
    <cellStyle name="Nota 18" xfId="518"/>
    <cellStyle name="Nota 18 2" xfId="519"/>
    <cellStyle name="Nota 19" xfId="520"/>
    <cellStyle name="Nota 19 2" xfId="521"/>
    <cellStyle name="Nota 2" xfId="522"/>
    <cellStyle name="Nota 2 2" xfId="523"/>
    <cellStyle name="Nota 2 3" xfId="524"/>
    <cellStyle name="Nota 2 4" xfId="525"/>
    <cellStyle name="Nota 2_CIVIL- BL 1-2-3-4-5-6-7-8 " xfId="526"/>
    <cellStyle name="Nota 20" xfId="527"/>
    <cellStyle name="Nota 20 2" xfId="528"/>
    <cellStyle name="Nota 21" xfId="529"/>
    <cellStyle name="Nota 21 2" xfId="530"/>
    <cellStyle name="Nota 22" xfId="531"/>
    <cellStyle name="Nota 22 2" xfId="532"/>
    <cellStyle name="Nota 23" xfId="533"/>
    <cellStyle name="Nota 23 2" xfId="534"/>
    <cellStyle name="Nota 24" xfId="535"/>
    <cellStyle name="Nota 24 2" xfId="536"/>
    <cellStyle name="Nota 25" xfId="537"/>
    <cellStyle name="Nota 25 2" xfId="538"/>
    <cellStyle name="Nota 26" xfId="539"/>
    <cellStyle name="Nota 26 2" xfId="540"/>
    <cellStyle name="Nota 27" xfId="541"/>
    <cellStyle name="Nota 27 2" xfId="542"/>
    <cellStyle name="Nota 28" xfId="543"/>
    <cellStyle name="Nota 28 2" xfId="544"/>
    <cellStyle name="Nota 29" xfId="545"/>
    <cellStyle name="Nota 29 2" xfId="546"/>
    <cellStyle name="Nota 3" xfId="547"/>
    <cellStyle name="Nota 3 2" xfId="548"/>
    <cellStyle name="Nota 30" xfId="549"/>
    <cellStyle name="Nota 30 2" xfId="550"/>
    <cellStyle name="Nota 31" xfId="551"/>
    <cellStyle name="Nota 31 2" xfId="552"/>
    <cellStyle name="Nota 32" xfId="553"/>
    <cellStyle name="Nota 32 2" xfId="554"/>
    <cellStyle name="Nota 33" xfId="555"/>
    <cellStyle name="Nota 33 2" xfId="556"/>
    <cellStyle name="Nota 34" xfId="557"/>
    <cellStyle name="Nota 34 2" xfId="558"/>
    <cellStyle name="Nota 35" xfId="559"/>
    <cellStyle name="Nota 35 2" xfId="560"/>
    <cellStyle name="Nota 36" xfId="561"/>
    <cellStyle name="Nota 36 2" xfId="562"/>
    <cellStyle name="Nota 37" xfId="563"/>
    <cellStyle name="Nota 37 2" xfId="564"/>
    <cellStyle name="Nota 38" xfId="565"/>
    <cellStyle name="Nota 39" xfId="566"/>
    <cellStyle name="Nota 4" xfId="567"/>
    <cellStyle name="Nota 4 2" xfId="568"/>
    <cellStyle name="Nota 5" xfId="569"/>
    <cellStyle name="Nota 5 2" xfId="570"/>
    <cellStyle name="Nota 6" xfId="571"/>
    <cellStyle name="Nota 6 2" xfId="572"/>
    <cellStyle name="Nota 7" xfId="573"/>
    <cellStyle name="Nota 7 2" xfId="574"/>
    <cellStyle name="Nota 8" xfId="575"/>
    <cellStyle name="Nota 8 2" xfId="576"/>
    <cellStyle name="Nota 9" xfId="577"/>
    <cellStyle name="Nota 9 2" xfId="578"/>
    <cellStyle name="Output" xfId="579"/>
    <cellStyle name="planilhas" xfId="580"/>
    <cellStyle name="Porcentagem" xfId="581" builtinId="5"/>
    <cellStyle name="Porcentagem 10" xfId="582"/>
    <cellStyle name="Porcentagem 10 2" xfId="583"/>
    <cellStyle name="Porcentagem 11" xfId="584"/>
    <cellStyle name="Porcentagem 12" xfId="585"/>
    <cellStyle name="Porcentagem 13" xfId="586"/>
    <cellStyle name="Porcentagem 14" xfId="587"/>
    <cellStyle name="Porcentagem 15" xfId="588"/>
    <cellStyle name="Porcentagem 16" xfId="589"/>
    <cellStyle name="Porcentagem 17" xfId="590"/>
    <cellStyle name="Porcentagem 18" xfId="591"/>
    <cellStyle name="Porcentagem 19" xfId="592"/>
    <cellStyle name="Porcentagem 2" xfId="593"/>
    <cellStyle name="Porcentagem 2 10" xfId="594"/>
    <cellStyle name="Porcentagem 2 11" xfId="595"/>
    <cellStyle name="Porcentagem 2 12" xfId="596"/>
    <cellStyle name="Porcentagem 2 13" xfId="597"/>
    <cellStyle name="Porcentagem 2 14" xfId="598"/>
    <cellStyle name="Porcentagem 2 15" xfId="599"/>
    <cellStyle name="Porcentagem 2 16" xfId="600"/>
    <cellStyle name="Porcentagem 2 17" xfId="601"/>
    <cellStyle name="Porcentagem 2 18" xfId="602"/>
    <cellStyle name="Porcentagem 2 19" xfId="603"/>
    <cellStyle name="Porcentagem 2 2" xfId="604"/>
    <cellStyle name="Porcentagem 2 2 2" xfId="605"/>
    <cellStyle name="Porcentagem 2 2 3" xfId="606"/>
    <cellStyle name="Porcentagem 2 20" xfId="607"/>
    <cellStyle name="Porcentagem 2 21" xfId="608"/>
    <cellStyle name="Porcentagem 2 22" xfId="609"/>
    <cellStyle name="Porcentagem 2 23" xfId="610"/>
    <cellStyle name="Porcentagem 2 24" xfId="611"/>
    <cellStyle name="Porcentagem 2 25" xfId="612"/>
    <cellStyle name="Porcentagem 2 26" xfId="613"/>
    <cellStyle name="Porcentagem 2 27" xfId="614"/>
    <cellStyle name="Porcentagem 2 28" xfId="615"/>
    <cellStyle name="Porcentagem 2 29" xfId="616"/>
    <cellStyle name="Porcentagem 2 3" xfId="617"/>
    <cellStyle name="Porcentagem 2 30" xfId="618"/>
    <cellStyle name="Porcentagem 2 4" xfId="619"/>
    <cellStyle name="Porcentagem 2 5" xfId="620"/>
    <cellStyle name="Porcentagem 2 6" xfId="621"/>
    <cellStyle name="Porcentagem 2 7" xfId="622"/>
    <cellStyle name="Porcentagem 2 8" xfId="623"/>
    <cellStyle name="Porcentagem 2 9" xfId="624"/>
    <cellStyle name="Porcentagem 20" xfId="625"/>
    <cellStyle name="Porcentagem 21" xfId="626"/>
    <cellStyle name="Porcentagem 22" xfId="627"/>
    <cellStyle name="Porcentagem 23" xfId="628"/>
    <cellStyle name="Porcentagem 24" xfId="629"/>
    <cellStyle name="Porcentagem 25" xfId="630"/>
    <cellStyle name="Porcentagem 26" xfId="631"/>
    <cellStyle name="Porcentagem 27" xfId="632"/>
    <cellStyle name="Porcentagem 28" xfId="633"/>
    <cellStyle name="Porcentagem 29" xfId="634"/>
    <cellStyle name="Porcentagem 3" xfId="635"/>
    <cellStyle name="Porcentagem 30" xfId="636"/>
    <cellStyle name="Porcentagem 31" xfId="637"/>
    <cellStyle name="Porcentagem 33" xfId="638"/>
    <cellStyle name="Porcentagem 4" xfId="639"/>
    <cellStyle name="Porcentagem 5" xfId="640"/>
    <cellStyle name="Porcentagem 6" xfId="641"/>
    <cellStyle name="Porcentagem 7" xfId="642"/>
    <cellStyle name="Porcentagem 8" xfId="643"/>
    <cellStyle name="Porcentagem 9" xfId="644"/>
    <cellStyle name="Saída" xfId="645" builtinId="21"/>
    <cellStyle name="Saída 2" xfId="646"/>
    <cellStyle name="Saída 2 2" xfId="647"/>
    <cellStyle name="Saída 2 3" xfId="648"/>
    <cellStyle name="Saída 2_CIVIL- BL 1-2-3-4-5-6-7-8 " xfId="649"/>
    <cellStyle name="Saída 3" xfId="650"/>
    <cellStyle name="Saída 4" xfId="651"/>
    <cellStyle name="Saída 5" xfId="652"/>
    <cellStyle name="Saída 6" xfId="653"/>
    <cellStyle name="Separador de milhares 10" xfId="654"/>
    <cellStyle name="Separador de milhares 11" xfId="655"/>
    <cellStyle name="Separador de milhares 12" xfId="656"/>
    <cellStyle name="Separador de milhares 13" xfId="657"/>
    <cellStyle name="Separador de milhares 14" xfId="658"/>
    <cellStyle name="Separador de milhares 15" xfId="659"/>
    <cellStyle name="Separador de milhares 16" xfId="660"/>
    <cellStyle name="Separador de milhares 17" xfId="661"/>
    <cellStyle name="Separador de milhares 18" xfId="662"/>
    <cellStyle name="Separador de milhares 19" xfId="663"/>
    <cellStyle name="Separador de milhares 2 10" xfId="664"/>
    <cellStyle name="Separador de milhares 2 11" xfId="665"/>
    <cellStyle name="Separador de milhares 2 12" xfId="666"/>
    <cellStyle name="Separador de milhares 2 13" xfId="667"/>
    <cellStyle name="Separador de milhares 2 14" xfId="668"/>
    <cellStyle name="Separador de milhares 2 15" xfId="669"/>
    <cellStyle name="Separador de milhares 2 16" xfId="670"/>
    <cellStyle name="Separador de milhares 2 17" xfId="671"/>
    <cellStyle name="Separador de milhares 2 18" xfId="672"/>
    <cellStyle name="Separador de milhares 2 19" xfId="673"/>
    <cellStyle name="Separador de milhares 2 2" xfId="674"/>
    <cellStyle name="Separador de milhares 2 2 2" xfId="675"/>
    <cellStyle name="Separador de milhares 2 20" xfId="676"/>
    <cellStyle name="Separador de milhares 2 21" xfId="677"/>
    <cellStyle name="Separador de milhares 2 22" xfId="678"/>
    <cellStyle name="Separador de milhares 2 23" xfId="679"/>
    <cellStyle name="Separador de milhares 2 24" xfId="680"/>
    <cellStyle name="Separador de milhares 2 25" xfId="681"/>
    <cellStyle name="Separador de milhares 2 26" xfId="682"/>
    <cellStyle name="Separador de milhares 2 27" xfId="683"/>
    <cellStyle name="Separador de milhares 2 28" xfId="684"/>
    <cellStyle name="Separador de milhares 2 29" xfId="685"/>
    <cellStyle name="Separador de milhares 2 3" xfId="686"/>
    <cellStyle name="Separador de milhares 2 30" xfId="687"/>
    <cellStyle name="Separador de milhares 2 31" xfId="688"/>
    <cellStyle name="Separador de milhares 2 4" xfId="689"/>
    <cellStyle name="Separador de milhares 2 5" xfId="690"/>
    <cellStyle name="Separador de milhares 2 6" xfId="691"/>
    <cellStyle name="Separador de milhares 2 7" xfId="692"/>
    <cellStyle name="Separador de milhares 2 8" xfId="693"/>
    <cellStyle name="Separador de milhares 2 9" xfId="694"/>
    <cellStyle name="Separador de milhares 20" xfId="695"/>
    <cellStyle name="Separador de milhares 21" xfId="696"/>
    <cellStyle name="Separador de milhares 22" xfId="697"/>
    <cellStyle name="Separador de milhares 23" xfId="698"/>
    <cellStyle name="Separador de milhares 24" xfId="699"/>
    <cellStyle name="Separador de milhares 25" xfId="700"/>
    <cellStyle name="Separador de milhares 26" xfId="701"/>
    <cellStyle name="Separador de milhares 27" xfId="702"/>
    <cellStyle name="Separador de milhares 28" xfId="703"/>
    <cellStyle name="Separador de milhares 29" xfId="704"/>
    <cellStyle name="Separador de milhares 3 2" xfId="705"/>
    <cellStyle name="Separador de milhares 3 3" xfId="706"/>
    <cellStyle name="Separador de milhares 3 4" xfId="707"/>
    <cellStyle name="Separador de milhares 30" xfId="708"/>
    <cellStyle name="Separador de milhares 31" xfId="709"/>
    <cellStyle name="Separador de milhares 4" xfId="710"/>
    <cellStyle name="Separador de milhares 5" xfId="711"/>
    <cellStyle name="Separador de milhares 5 2" xfId="712"/>
    <cellStyle name="Separador de milhares 5 3" xfId="713"/>
    <cellStyle name="Separador de milhares 6" xfId="714"/>
    <cellStyle name="Separador de milhares 6 2" xfId="715"/>
    <cellStyle name="Separador de milhares 7" xfId="716"/>
    <cellStyle name="Separador de milhares 8" xfId="717"/>
    <cellStyle name="Separador de milhares 9" xfId="718"/>
    <cellStyle name="Texto de Aviso 2" xfId="719"/>
    <cellStyle name="Texto de Aviso 2 2" xfId="720"/>
    <cellStyle name="Texto de Aviso 2 3" xfId="721"/>
    <cellStyle name="Texto de Aviso 2_ORÇAMENTO - FORUM DE V. GRANDE" xfId="722"/>
    <cellStyle name="Texto de Aviso 3" xfId="723"/>
    <cellStyle name="Texto de Aviso 4" xfId="724"/>
    <cellStyle name="Texto de Aviso 5" xfId="725"/>
    <cellStyle name="Texto de Aviso 6" xfId="726"/>
    <cellStyle name="Texto Explicativo 2" xfId="727"/>
    <cellStyle name="Texto Explicativo 2 2" xfId="728"/>
    <cellStyle name="Texto Explicativo 2 3" xfId="729"/>
    <cellStyle name="Texto Explicativo 2_ORÇAMENTO - FORUM DE V. GRANDE" xfId="730"/>
    <cellStyle name="Texto Explicativo 3" xfId="731"/>
    <cellStyle name="Texto Explicativo 4" xfId="732"/>
    <cellStyle name="Texto Explicativo 5" xfId="733"/>
    <cellStyle name="Texto Explicativo 6" xfId="734"/>
    <cellStyle name="Title" xfId="735"/>
    <cellStyle name="Título 1 2" xfId="736"/>
    <cellStyle name="Título 1 2 2" xfId="737"/>
    <cellStyle name="Título 1 2 3" xfId="738"/>
    <cellStyle name="Título 1 2_CIVIL- BL 1-2-3-4-5-6-7-8 " xfId="739"/>
    <cellStyle name="Título 1 3" xfId="740"/>
    <cellStyle name="Título 1 4" xfId="741"/>
    <cellStyle name="Título 1 5" xfId="742"/>
    <cellStyle name="Título 1 6" xfId="743"/>
    <cellStyle name="Título 10" xfId="744"/>
    <cellStyle name="Título 2 2" xfId="745"/>
    <cellStyle name="Título 2 2 2" xfId="746"/>
    <cellStyle name="Título 2 2 3" xfId="747"/>
    <cellStyle name="Título 2 2_CIVIL- BL 1-2-3-4-5-6-7-8 " xfId="748"/>
    <cellStyle name="Título 2 3" xfId="749"/>
    <cellStyle name="Título 2 4" xfId="750"/>
    <cellStyle name="Título 2 5" xfId="751"/>
    <cellStyle name="Título 2 6" xfId="752"/>
    <cellStyle name="Título 3 2" xfId="753"/>
    <cellStyle name="Título 3 2 2" xfId="754"/>
    <cellStyle name="Título 3 2 3" xfId="755"/>
    <cellStyle name="Título 3 2_CIVIL- BL 1-2-3-4-5-6-7-8 " xfId="756"/>
    <cellStyle name="Título 3 3" xfId="757"/>
    <cellStyle name="Título 3 4" xfId="758"/>
    <cellStyle name="Título 3 5" xfId="759"/>
    <cellStyle name="Título 3 6" xfId="760"/>
    <cellStyle name="Título 4 2" xfId="761"/>
    <cellStyle name="Título 4 2 2" xfId="762"/>
    <cellStyle name="Título 4 2 3" xfId="763"/>
    <cellStyle name="Título 4 2_ORÇAMENTO - FORUM DE V. GRANDE" xfId="764"/>
    <cellStyle name="Título 4 3" xfId="765"/>
    <cellStyle name="Título 4 4" xfId="766"/>
    <cellStyle name="Título 4 5" xfId="767"/>
    <cellStyle name="Título 4 6" xfId="768"/>
    <cellStyle name="Título 5" xfId="769"/>
    <cellStyle name="Título 5 2" xfId="770"/>
    <cellStyle name="Título 5 3" xfId="771"/>
    <cellStyle name="Título 5_ORÇAMENTO - FORUM DE V. GRANDE" xfId="772"/>
    <cellStyle name="Título 6" xfId="773"/>
    <cellStyle name="Título 7" xfId="774"/>
    <cellStyle name="Título 8" xfId="775"/>
    <cellStyle name="Título 9" xfId="776"/>
    <cellStyle name="Total 2" xfId="777"/>
    <cellStyle name="Total 2 2" xfId="778"/>
    <cellStyle name="Total 2 3" xfId="779"/>
    <cellStyle name="Total 2_CIVIL- BL 1-2-3-4-5-6-7-8 " xfId="780"/>
    <cellStyle name="Total 3" xfId="781"/>
    <cellStyle name="Total 4" xfId="782"/>
    <cellStyle name="Total 5" xfId="783"/>
    <cellStyle name="Total 6" xfId="784"/>
    <cellStyle name="Total 7" xfId="785"/>
    <cellStyle name="Vírgula" xfId="786" builtinId="3"/>
    <cellStyle name="Vírgula 10" xfId="787"/>
    <cellStyle name="Vírgula 2" xfId="788"/>
    <cellStyle name="Vírgula 2 2" xfId="789"/>
    <cellStyle name="Vírgula 2 3" xfId="790"/>
    <cellStyle name="Vírgula 3" xfId="791"/>
    <cellStyle name="Vírgula 3 2" xfId="792"/>
    <cellStyle name="Vírgula 4" xfId="793"/>
    <cellStyle name="Vírgula 4 2" xfId="794"/>
    <cellStyle name="Vírgula 5" xfId="79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4360" name="Picture 3">
          <a:extLst>
            <a:ext uri="{FF2B5EF4-FFF2-40B4-BE49-F238E27FC236}">
              <a16:creationId xmlns:a16="http://schemas.microsoft.com/office/drawing/2014/main" id="{1DD4C48E-D2D3-4B05-9CCF-39164FBC5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102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4361" name="Picture 3">
          <a:extLst>
            <a:ext uri="{FF2B5EF4-FFF2-40B4-BE49-F238E27FC236}">
              <a16:creationId xmlns:a16="http://schemas.microsoft.com/office/drawing/2014/main" id="{6E1E4C6D-7A6A-4FED-AB5C-6D2EB5EAA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102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5384" name="Picture 3">
          <a:extLst>
            <a:ext uri="{FF2B5EF4-FFF2-40B4-BE49-F238E27FC236}">
              <a16:creationId xmlns:a16="http://schemas.microsoft.com/office/drawing/2014/main" id="{92AF0EDF-CDDA-4851-8F6B-29B068BB6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483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5385" name="Picture 3">
          <a:extLst>
            <a:ext uri="{FF2B5EF4-FFF2-40B4-BE49-F238E27FC236}">
              <a16:creationId xmlns:a16="http://schemas.microsoft.com/office/drawing/2014/main" id="{F4E8F3A5-966D-4F6A-AE50-594329313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483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1%20V&#193;RZEA%20GRANDE%202018\BAIRRO%2023%20DE%20SETEMBRO%20E%20OUTROS\OR&#199;AMENTO\QUANTIDADE%20E%20OR&#199;AMENTO%20%2023%20SETEMBRO%20N&#195;O%20DESONER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%23%20V&#193;RZEA%20GRANDE%202021\NOVA%20ESPERAN&#199;A%20ATUALIZADO\OR&#199;AMENTO\COMPOSI&#199;&#195;O%20DE%20CUSTO\Estudo%20de%20aquisi&#231;&#227;o%20e%20transporte%20de%20mat%20betuminosos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ao\d\A%20Meus%20documentos\A1%20V&#193;RZEA%20GRANDE%202018\JARDIM%20PAULA%20II\OR&#199;AMENTO\QUANTIDADE%20E%20OR&#199;AMENTO%20-%20JD%20PAULA%20II%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1%20V&#193;RZEA%20GRANDE%202018\BAIRRO%20ASA%20BRANCA-%20SANTA%20ISABEL\OR&#199;AMENTO\QUANTIDADE%20E%20OR&#199;AMENTO%20%20ASA%20BRANCA%20N&#195;O%20DESONERAD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%23%20V&#193;RZEA%20GRANDE%202021\NOVA%20ESPERAN&#199;A%20ATUALIZADO\OR&#199;AMENTO\QUANTIDADE%20E%20OR&#199;AMENTO%20N&#195;O%20DESONERADO\QUANTIDADE%20E%20OR&#199;AMENTO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CFF"/>
      <sheetName val="TRANSP"/>
      <sheetName val="MEMORIAL DE CALCULO"/>
      <sheetName val="BLS"/>
      <sheetName val="BLD"/>
      <sheetName val="BLT"/>
      <sheetName val="TERRAP E PAVIM"/>
      <sheetName val="BDI"/>
      <sheetName val="BDI DIFERENCIADO"/>
      <sheetName val="DRENO"/>
      <sheetName val="SN HOR"/>
      <sheetName val="SN VERT"/>
      <sheetName val="LASTRO"/>
    </sheetNames>
    <sheetDataSet>
      <sheetData sheetId="0"/>
      <sheetData sheetId="1">
        <row r="1">
          <cell r="A1" t="str">
            <v>PREFEITURA MUNICIPAL DE VÁRZEA GRANDE</v>
          </cell>
        </row>
        <row r="5">
          <cell r="A5" t="str">
            <v>ITEM</v>
          </cell>
          <cell r="B5" t="str">
            <v>CODIGO</v>
          </cell>
          <cell r="C5" t="str">
            <v>BANCO</v>
          </cell>
          <cell r="D5" t="str">
            <v>DISCRIMINAÇÃO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 + TRANSPORTE"/>
      <sheetName val="TRANSPORTE"/>
      <sheetName val="Plan1"/>
    </sheetNames>
    <sheetDataSet>
      <sheetData sheetId="0"/>
      <sheetData sheetId="1">
        <row r="15">
          <cell r="I15"/>
        </row>
        <row r="47">
          <cell r="I47"/>
        </row>
        <row r="48">
          <cell r="S48"/>
        </row>
        <row r="61">
          <cell r="I61">
            <v>750.87</v>
          </cell>
        </row>
        <row r="62">
          <cell r="S62">
            <v>664.2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FF"/>
      <sheetName val="QUANT"/>
      <sheetName val="ORÇA "/>
      <sheetName val="TRANSP"/>
      <sheetName val="MEMORIAL DE CALCULO"/>
      <sheetName val="BLD"/>
      <sheetName val="TERRAP E PAVIM"/>
      <sheetName val="BDI"/>
      <sheetName val="BDI DIFERENCIADO"/>
      <sheetName val="DRENO"/>
      <sheetName val="SN HOR"/>
      <sheetName val="SN VERT"/>
      <sheetName val="LASTRO"/>
      <sheetName val="TAB REAJUSTAMENTO"/>
    </sheetNames>
    <sheetDataSet>
      <sheetData sheetId="0" refreshError="1">
        <row r="9">
          <cell r="B9" t="str">
            <v>SERVIÇOS PRELIMINARES</v>
          </cell>
        </row>
        <row r="12">
          <cell r="B12" t="str">
            <v>ADMINISTRAÇÃO LOCAL</v>
          </cell>
        </row>
        <row r="15">
          <cell r="B15" t="str">
            <v>ENSAIOS TECNOLÓGICOS DE SOLO E ASFALTO</v>
          </cell>
        </row>
        <row r="18">
          <cell r="B18" t="str">
            <v>TERRAPLENAGEM</v>
          </cell>
        </row>
        <row r="21">
          <cell r="B21" t="str">
            <v>PAVIMENTAÇÃO</v>
          </cell>
        </row>
        <row r="24">
          <cell r="B24" t="str">
            <v>SINALIZAÇÃO HORIZONTAL/VERTICAL</v>
          </cell>
        </row>
        <row r="30">
          <cell r="B30" t="str">
            <v>DRENAGEM</v>
          </cell>
        </row>
        <row r="33">
          <cell r="B33" t="str">
            <v>FORNECIMENTO/ASSENTAMENTO DE TUBOS TIPO PA-1 e PA-2</v>
          </cell>
        </row>
        <row r="36">
          <cell r="B36" t="str">
            <v xml:space="preserve">ASSENTAMENTO E REJUNTAMENTO DE TUBO DE CONCRETO </v>
          </cell>
        </row>
        <row r="44">
          <cell r="C44">
            <v>2275368.2999999998</v>
          </cell>
        </row>
      </sheetData>
      <sheetData sheetId="1" refreshError="1">
        <row r="42">
          <cell r="U42">
            <v>2275368.2999999993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BLS"/>
      <sheetName val="BLD"/>
      <sheetName val="TERRAP E PAVIM"/>
      <sheetName val="BDI"/>
      <sheetName val="BDI DIFERENCIADO"/>
      <sheetName val="DRENO"/>
      <sheetName val="SN HOR"/>
      <sheetName val="SN VERT"/>
      <sheetName val="LASTRO"/>
      <sheetName val="NS DRENAGEM"/>
    </sheetNames>
    <sheetDataSet>
      <sheetData sheetId="0">
        <row r="28">
          <cell r="B28" t="str">
            <v>OBRAS COMPLEMENTARES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TERRAP E PAVIM"/>
      <sheetName val="MEMORIAL DE CALCULO"/>
      <sheetName val="BLS"/>
      <sheetName val="BLD"/>
      <sheetName val="BLT"/>
      <sheetName val="LASTRO "/>
      <sheetName val="BDI"/>
      <sheetName val="BDI DIFERENCIADO"/>
      <sheetName val="DRENO PROF"/>
      <sheetName val="SN HOR"/>
      <sheetName val="SN VERT"/>
      <sheetName val="NS REMOÇÃO POSTE"/>
      <sheetName val="REMO. DE POSTE"/>
      <sheetName val="ALUGUEL"/>
      <sheetName val="COMP 1"/>
      <sheetName val="COMP 2"/>
    </sheetNames>
    <sheetDataSet>
      <sheetData sheetId="0"/>
      <sheetData sheetId="1"/>
      <sheetData sheetId="2"/>
      <sheetData sheetId="3"/>
      <sheetData sheetId="4"/>
      <sheetData sheetId="5">
        <row r="11">
          <cell r="H11">
            <v>390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67"/>
  <sheetViews>
    <sheetView zoomScale="80" zoomScaleNormal="80" zoomScaleSheetLayoutView="100" workbookViewId="0">
      <selection activeCell="D10" sqref="D10"/>
    </sheetView>
  </sheetViews>
  <sheetFormatPr defaultRowHeight="12.75"/>
  <cols>
    <col min="1" max="1" width="20.140625" customWidth="1"/>
    <col min="2" max="2" width="51.5703125" customWidth="1"/>
    <col min="3" max="3" width="19.85546875" customWidth="1"/>
    <col min="4" max="4" width="24.85546875" style="8" customWidth="1"/>
  </cols>
  <sheetData>
    <row r="1" spans="1:4" ht="20.100000000000001" customHeight="1">
      <c r="A1" s="626" t="s">
        <v>54</v>
      </c>
      <c r="B1" s="627"/>
      <c r="C1" s="627"/>
      <c r="D1" s="628"/>
    </row>
    <row r="2" spans="1:4" ht="15" customHeight="1">
      <c r="A2" s="629"/>
      <c r="B2" s="630"/>
      <c r="C2" s="630"/>
      <c r="D2" s="631"/>
    </row>
    <row r="3" spans="1:4" ht="15" customHeight="1">
      <c r="A3" s="640" t="s">
        <v>326</v>
      </c>
      <c r="B3" s="640"/>
      <c r="C3" s="640"/>
      <c r="D3" s="641"/>
    </row>
    <row r="4" spans="1:4" ht="15" customHeight="1">
      <c r="A4" s="640" t="s">
        <v>327</v>
      </c>
      <c r="B4" s="640"/>
      <c r="C4" s="640"/>
      <c r="D4" s="641"/>
    </row>
    <row r="5" spans="1:4" ht="15" customHeight="1">
      <c r="A5" s="640" t="s">
        <v>328</v>
      </c>
      <c r="B5" s="640"/>
      <c r="C5" s="640"/>
      <c r="D5" s="641"/>
    </row>
    <row r="6" spans="1:4" ht="15" customHeight="1">
      <c r="A6" s="642" t="s">
        <v>66</v>
      </c>
      <c r="B6" s="643"/>
      <c r="C6" s="258">
        <f>-D56</f>
        <v>-908826.70000000007</v>
      </c>
      <c r="D6" s="543"/>
    </row>
    <row r="7" spans="1:4" ht="15" customHeight="1">
      <c r="A7" s="570" t="s">
        <v>329</v>
      </c>
      <c r="B7" s="571"/>
      <c r="C7" s="258">
        <f>SUM(C6-C8)</f>
        <v>-908826.70000000007</v>
      </c>
      <c r="D7" s="544">
        <v>1</v>
      </c>
    </row>
    <row r="8" spans="1:4" ht="15" customHeight="1">
      <c r="A8" s="638" t="s">
        <v>330</v>
      </c>
      <c r="B8" s="639"/>
      <c r="C8" s="258">
        <f>SUM(C6*D8)</f>
        <v>0</v>
      </c>
      <c r="D8" s="544">
        <v>0</v>
      </c>
    </row>
    <row r="9" spans="1:4" ht="15" customHeight="1">
      <c r="A9" s="255"/>
      <c r="B9" s="256"/>
      <c r="C9" s="256"/>
      <c r="D9" s="257"/>
    </row>
    <row r="10" spans="1:4" ht="15" customHeight="1">
      <c r="A10" s="572" t="s">
        <v>55</v>
      </c>
      <c r="B10" s="579" t="s">
        <v>56</v>
      </c>
      <c r="C10" s="580"/>
      <c r="D10" s="123" t="s">
        <v>521</v>
      </c>
    </row>
    <row r="11" spans="1:4" ht="15" customHeight="1">
      <c r="A11" s="572"/>
      <c r="B11" s="581"/>
      <c r="C11" s="582"/>
      <c r="D11" s="123" t="s">
        <v>522</v>
      </c>
    </row>
    <row r="12" spans="1:4" ht="15" customHeight="1">
      <c r="A12" s="572"/>
      <c r="B12" s="583"/>
      <c r="C12" s="584"/>
      <c r="D12" s="123" t="s">
        <v>160</v>
      </c>
    </row>
    <row r="13" spans="1:4" ht="15" customHeight="1">
      <c r="A13" s="124" t="s">
        <v>15</v>
      </c>
      <c r="B13" s="585" t="s">
        <v>0</v>
      </c>
      <c r="C13" s="586"/>
      <c r="D13" s="125" t="s">
        <v>26</v>
      </c>
    </row>
    <row r="14" spans="1:4" ht="8.1" customHeight="1">
      <c r="A14" s="576" t="str">
        <f>'ORÇA '!B7</f>
        <v>I</v>
      </c>
      <c r="B14" s="587" t="str">
        <f>QUANT!D7</f>
        <v>SERVIÇOS PRELIMINARES</v>
      </c>
      <c r="C14" s="588"/>
      <c r="D14" s="573">
        <f>'ORÇA '!J11</f>
        <v>34868.869999999995</v>
      </c>
    </row>
    <row r="15" spans="1:4" ht="14.25" customHeight="1">
      <c r="A15" s="577"/>
      <c r="B15" s="589"/>
      <c r="C15" s="590"/>
      <c r="D15" s="574"/>
    </row>
    <row r="16" spans="1:4" ht="8.1" customHeight="1">
      <c r="A16" s="578"/>
      <c r="B16" s="591"/>
      <c r="C16" s="592"/>
      <c r="D16" s="575"/>
    </row>
    <row r="17" spans="1:4" ht="8.1" customHeight="1">
      <c r="A17" s="576" t="str">
        <f>'ORÇA '!B13</f>
        <v>II</v>
      </c>
      <c r="B17" s="632" t="str">
        <f>'ORÇA '!D13</f>
        <v>ADMINISTRAÇÃO LOCAL</v>
      </c>
      <c r="C17" s="633"/>
      <c r="D17" s="573">
        <f>'ORÇA '!J14</f>
        <v>32701.16</v>
      </c>
    </row>
    <row r="18" spans="1:4" ht="12.75" customHeight="1">
      <c r="A18" s="577"/>
      <c r="B18" s="634"/>
      <c r="C18" s="635"/>
      <c r="D18" s="574"/>
    </row>
    <row r="19" spans="1:4" ht="8.1" customHeight="1">
      <c r="A19" s="578"/>
      <c r="B19" s="636"/>
      <c r="C19" s="637"/>
      <c r="D19" s="575"/>
    </row>
    <row r="20" spans="1:4" ht="8.1" customHeight="1">
      <c r="A20" s="576" t="str">
        <f>'ORÇA '!B16</f>
        <v>III</v>
      </c>
      <c r="B20" s="632" t="str">
        <f>QUANT!D16</f>
        <v>ENSAIOS TECNOLÓGICOS DE SOLO E ASFALTO</v>
      </c>
      <c r="C20" s="633"/>
      <c r="D20" s="573">
        <f>'ORÇA '!J20</f>
        <v>5736.94</v>
      </c>
    </row>
    <row r="21" spans="1:4" ht="12.75" customHeight="1">
      <c r="A21" s="577"/>
      <c r="B21" s="634"/>
      <c r="C21" s="635"/>
      <c r="D21" s="574"/>
    </row>
    <row r="22" spans="1:4" ht="8.1" customHeight="1">
      <c r="A22" s="578"/>
      <c r="B22" s="636"/>
      <c r="C22" s="637"/>
      <c r="D22" s="575"/>
    </row>
    <row r="23" spans="1:4" ht="8.1" customHeight="1">
      <c r="A23" s="576" t="str">
        <f>'ORÇA '!B22</f>
        <v>IV</v>
      </c>
      <c r="B23" s="593" t="str">
        <f>'ORÇA '!D22</f>
        <v>TERRAPLENAGEM</v>
      </c>
      <c r="C23" s="594"/>
      <c r="D23" s="573">
        <f>'ORÇA '!J31</f>
        <v>122904.55</v>
      </c>
    </row>
    <row r="24" spans="1:4" ht="7.5" customHeight="1">
      <c r="A24" s="577"/>
      <c r="B24" s="595"/>
      <c r="C24" s="596"/>
      <c r="D24" s="574"/>
    </row>
    <row r="25" spans="1:4" ht="8.1" customHeight="1">
      <c r="A25" s="578"/>
      <c r="B25" s="597"/>
      <c r="C25" s="598"/>
      <c r="D25" s="575"/>
    </row>
    <row r="26" spans="1:4" ht="8.1" customHeight="1">
      <c r="A26" s="576" t="str">
        <f>'ORÇA '!B33</f>
        <v>V</v>
      </c>
      <c r="B26" s="587" t="str">
        <f>QUANT!D33</f>
        <v>PAVIMENTAÇÃO (IMPLANTAÇÃO)</v>
      </c>
      <c r="C26" s="588"/>
      <c r="D26" s="573">
        <f>'ORÇA '!J42</f>
        <v>60551.81</v>
      </c>
    </row>
    <row r="27" spans="1:4" ht="17.25" customHeight="1">
      <c r="A27" s="577"/>
      <c r="B27" s="589"/>
      <c r="C27" s="590"/>
      <c r="D27" s="574"/>
    </row>
    <row r="28" spans="1:4" ht="8.1" customHeight="1">
      <c r="A28" s="578"/>
      <c r="B28" s="591"/>
      <c r="C28" s="592"/>
      <c r="D28" s="575"/>
    </row>
    <row r="29" spans="1:4" ht="8.1" customHeight="1">
      <c r="A29" s="576" t="str">
        <f>'ORÇA '!B44</f>
        <v>VI</v>
      </c>
      <c r="B29" s="587" t="str">
        <f>'ORÇA '!D44</f>
        <v>AQUISIÇÃO DE MATERIAL BETUMINOSO (IMPLANTAÇÃO)</v>
      </c>
      <c r="C29" s="588"/>
      <c r="D29" s="573">
        <f>'ORÇA '!J47</f>
        <v>79534.36</v>
      </c>
    </row>
    <row r="30" spans="1:4" ht="8.1" customHeight="1">
      <c r="A30" s="577"/>
      <c r="B30" s="589"/>
      <c r="C30" s="590"/>
      <c r="D30" s="574"/>
    </row>
    <row r="31" spans="1:4" ht="8.1" customHeight="1">
      <c r="A31" s="578"/>
      <c r="B31" s="591"/>
      <c r="C31" s="592"/>
      <c r="D31" s="575"/>
    </row>
    <row r="32" spans="1:4" ht="8.1" customHeight="1">
      <c r="A32" s="576" t="str">
        <f>'ORÇA '!B49</f>
        <v>VII</v>
      </c>
      <c r="B32" s="587" t="str">
        <f>'ORÇA '!D49</f>
        <v>TRANSPORTE P/ PAVIMENTAÇÃO (IMPLANTAÇÃO)</v>
      </c>
      <c r="C32" s="588"/>
      <c r="D32" s="573">
        <f>'ORÇA '!J53</f>
        <v>26772.45</v>
      </c>
    </row>
    <row r="33" spans="1:4" ht="8.1" customHeight="1">
      <c r="A33" s="577"/>
      <c r="B33" s="589"/>
      <c r="C33" s="590"/>
      <c r="D33" s="574"/>
    </row>
    <row r="34" spans="1:4" ht="8.1" customHeight="1">
      <c r="A34" s="578"/>
      <c r="B34" s="591"/>
      <c r="C34" s="592"/>
      <c r="D34" s="575"/>
    </row>
    <row r="35" spans="1:4" ht="8.1" customHeight="1">
      <c r="A35" s="576" t="str">
        <f>'ORÇA '!B55</f>
        <v>VIII</v>
      </c>
      <c r="B35" s="587" t="str">
        <f>'ORÇA '!D55</f>
        <v>SINALIZAÇÃO HORIZONTAL/VERTICAL</v>
      </c>
      <c r="C35" s="588"/>
      <c r="D35" s="573">
        <f>'ORÇA '!J59</f>
        <v>5379.8899999999994</v>
      </c>
    </row>
    <row r="36" spans="1:4" ht="12.75" customHeight="1">
      <c r="A36" s="577"/>
      <c r="B36" s="589"/>
      <c r="C36" s="590"/>
      <c r="D36" s="574"/>
    </row>
    <row r="37" spans="1:4" ht="8.1" customHeight="1">
      <c r="A37" s="578"/>
      <c r="B37" s="591"/>
      <c r="C37" s="592"/>
      <c r="D37" s="575"/>
    </row>
    <row r="38" spans="1:4" ht="8.1" customHeight="1">
      <c r="A38" s="576" t="str">
        <f>'ORÇA '!B61</f>
        <v>IX</v>
      </c>
      <c r="B38" s="620" t="str">
        <f>QUANT!D61</f>
        <v>OBRAS COMPLEMENTARES</v>
      </c>
      <c r="C38" s="621"/>
      <c r="D38" s="573">
        <f>'ORÇA '!J66</f>
        <v>260567.96</v>
      </c>
    </row>
    <row r="39" spans="1:4" ht="12.75" customHeight="1">
      <c r="A39" s="577"/>
      <c r="B39" s="622"/>
      <c r="C39" s="623"/>
      <c r="D39" s="574"/>
    </row>
    <row r="40" spans="1:4" ht="8.1" customHeight="1">
      <c r="A40" s="578"/>
      <c r="B40" s="624"/>
      <c r="C40" s="625"/>
      <c r="D40" s="575"/>
    </row>
    <row r="41" spans="1:4" ht="8.1" customHeight="1">
      <c r="A41" s="576" t="str">
        <f>'ORÇA '!B68</f>
        <v>X</v>
      </c>
      <c r="B41" s="593" t="str">
        <f>QUANT!D68</f>
        <v>DRENAGEM</v>
      </c>
      <c r="C41" s="594"/>
      <c r="D41" s="573">
        <f>'ORÇA '!J79</f>
        <v>62812.160000000003</v>
      </c>
    </row>
    <row r="42" spans="1:4" ht="12" customHeight="1">
      <c r="A42" s="577"/>
      <c r="B42" s="595"/>
      <c r="C42" s="596"/>
      <c r="D42" s="574"/>
    </row>
    <row r="43" spans="1:4" ht="8.1" customHeight="1">
      <c r="A43" s="578"/>
      <c r="B43" s="597"/>
      <c r="C43" s="598"/>
      <c r="D43" s="575"/>
    </row>
    <row r="44" spans="1:4" ht="8.1" customHeight="1">
      <c r="A44" s="576" t="str">
        <f>'ORÇA '!B81</f>
        <v>XI</v>
      </c>
      <c r="B44" s="593" t="str">
        <f>QUANT!D81</f>
        <v>FORNECIMENTO DE TUBOS TIPO PA-1</v>
      </c>
      <c r="C44" s="594"/>
      <c r="D44" s="573">
        <f>'ORÇA '!J83</f>
        <v>110920.34999999999</v>
      </c>
    </row>
    <row r="45" spans="1:4" ht="12.75" customHeight="1">
      <c r="A45" s="577"/>
      <c r="B45" s="595"/>
      <c r="C45" s="596"/>
      <c r="D45" s="574"/>
    </row>
    <row r="46" spans="1:4" ht="8.1" customHeight="1">
      <c r="A46" s="578"/>
      <c r="B46" s="597"/>
      <c r="C46" s="598"/>
      <c r="D46" s="575"/>
    </row>
    <row r="47" spans="1:4" ht="8.1" customHeight="1">
      <c r="A47" s="576" t="str">
        <f>'ORÇA '!B85</f>
        <v>XII</v>
      </c>
      <c r="B47" s="593" t="str">
        <f>QUANT!D85</f>
        <v xml:space="preserve">ASSENTAMENTO DE TUBO DE CONCRETO </v>
      </c>
      <c r="C47" s="594"/>
      <c r="D47" s="573">
        <f>'ORÇA '!J87</f>
        <v>31869.9</v>
      </c>
    </row>
    <row r="48" spans="1:4" ht="12.75" customHeight="1">
      <c r="A48" s="577"/>
      <c r="B48" s="595"/>
      <c r="C48" s="596"/>
      <c r="D48" s="574"/>
    </row>
    <row r="49" spans="1:4" ht="8.1" customHeight="1">
      <c r="A49" s="578"/>
      <c r="B49" s="597"/>
      <c r="C49" s="598"/>
      <c r="D49" s="575"/>
    </row>
    <row r="50" spans="1:4" ht="8.1" customHeight="1">
      <c r="A50" s="576" t="str">
        <f>'ORÇA '!B89</f>
        <v>XIII</v>
      </c>
      <c r="B50" s="593" t="str">
        <f>'ORÇA '!D89</f>
        <v>ÓRGÃOS ACESSÓRIOS</v>
      </c>
      <c r="C50" s="594"/>
      <c r="D50" s="573">
        <f>'ORÇA '!J95</f>
        <v>60274.67</v>
      </c>
    </row>
    <row r="51" spans="1:4" ht="12.75" customHeight="1">
      <c r="A51" s="577"/>
      <c r="B51" s="595"/>
      <c r="C51" s="596"/>
      <c r="D51" s="574"/>
    </row>
    <row r="52" spans="1:4" ht="8.1" customHeight="1">
      <c r="A52" s="578"/>
      <c r="B52" s="597"/>
      <c r="C52" s="598"/>
      <c r="D52" s="575"/>
    </row>
    <row r="53" spans="1:4" ht="8.1" customHeight="1">
      <c r="A53" s="576" t="str">
        <f>'ORÇA '!B97</f>
        <v>XII</v>
      </c>
      <c r="B53" s="587" t="str">
        <f>'ORÇA '!D97</f>
        <v>CONTROLE E RECUPERAÇÃO AMBIENTAL</v>
      </c>
      <c r="C53" s="588"/>
      <c r="D53" s="573">
        <f>'ORÇA '!J99</f>
        <v>13931.63</v>
      </c>
    </row>
    <row r="54" spans="1:4" ht="8.1" customHeight="1">
      <c r="A54" s="577"/>
      <c r="B54" s="589"/>
      <c r="C54" s="590"/>
      <c r="D54" s="574"/>
    </row>
    <row r="55" spans="1:4" ht="8.1" customHeight="1">
      <c r="A55" s="578"/>
      <c r="B55" s="591"/>
      <c r="C55" s="592"/>
      <c r="D55" s="575"/>
    </row>
    <row r="56" spans="1:4" ht="15.75" customHeight="1">
      <c r="A56" s="602" t="s">
        <v>28</v>
      </c>
      <c r="B56" s="603"/>
      <c r="C56" s="604"/>
      <c r="D56" s="599">
        <f>SUM(D14:D55)</f>
        <v>908826.70000000007</v>
      </c>
    </row>
    <row r="57" spans="1:4" ht="15.75" customHeight="1">
      <c r="A57" s="605"/>
      <c r="B57" s="606"/>
      <c r="C57" s="607"/>
      <c r="D57" s="600"/>
    </row>
    <row r="58" spans="1:4" ht="15.75" customHeight="1">
      <c r="A58" s="608"/>
      <c r="B58" s="609"/>
      <c r="C58" s="610"/>
      <c r="D58" s="601"/>
    </row>
    <row r="59" spans="1:4" ht="20.100000000000001" customHeight="1">
      <c r="A59" s="617" t="s">
        <v>289</v>
      </c>
      <c r="B59" s="618"/>
      <c r="C59" s="619"/>
      <c r="D59" s="551">
        <f>'ORÇA '!I4/1000</f>
        <v>0.392596</v>
      </c>
    </row>
    <row r="60" spans="1:4" ht="20.100000000000001" customHeight="1">
      <c r="A60" s="617" t="s">
        <v>288</v>
      </c>
      <c r="B60" s="618"/>
      <c r="C60" s="619"/>
      <c r="D60" s="198">
        <f>D56/D59</f>
        <v>2314915.84223986</v>
      </c>
    </row>
    <row r="61" spans="1:4" ht="15" customHeight="1">
      <c r="A61" s="545"/>
      <c r="B61" s="546"/>
      <c r="C61" s="546"/>
      <c r="D61" s="126"/>
    </row>
    <row r="62" spans="1:4" ht="15" customHeight="1">
      <c r="A62" s="611" t="str">
        <f>QUANT!A2</f>
        <v>BAIRRO: NOVA ESPERANÇA</v>
      </c>
      <c r="B62" s="612"/>
      <c r="C62" s="612"/>
      <c r="D62" s="613"/>
    </row>
    <row r="63" spans="1:4" ht="15" customHeight="1">
      <c r="A63" s="614" t="str">
        <f>QUANT!A3</f>
        <v>RUAS: NOVA ESPERAÇA</v>
      </c>
      <c r="B63" s="615"/>
      <c r="C63" s="615"/>
      <c r="D63" s="616"/>
    </row>
    <row r="64" spans="1:4" ht="15" customHeight="1" thickBot="1">
      <c r="A64" s="547" t="str">
        <f>QUANT!A4</f>
        <v>OBRA: PAVIMENTAÇÃO DE VIAS URBANAS</v>
      </c>
      <c r="B64" s="548"/>
      <c r="C64" s="549"/>
      <c r="D64" s="550"/>
    </row>
    <row r="66" spans="1:4" ht="15.75">
      <c r="A66" s="89"/>
      <c r="D66" s="254"/>
    </row>
    <row r="67" spans="1:4" ht="15.75">
      <c r="A67" s="89"/>
    </row>
  </sheetData>
  <mergeCells count="58">
    <mergeCell ref="A1:D2"/>
    <mergeCell ref="B14:C16"/>
    <mergeCell ref="B17:C19"/>
    <mergeCell ref="B20:C22"/>
    <mergeCell ref="B23:C25"/>
    <mergeCell ref="A14:A16"/>
    <mergeCell ref="D14:D16"/>
    <mergeCell ref="D23:D25"/>
    <mergeCell ref="A23:A25"/>
    <mergeCell ref="A8:B8"/>
    <mergeCell ref="D20:D22"/>
    <mergeCell ref="A17:A19"/>
    <mergeCell ref="A3:D3"/>
    <mergeCell ref="A4:D4"/>
    <mergeCell ref="A5:D5"/>
    <mergeCell ref="A6:B6"/>
    <mergeCell ref="A62:D62"/>
    <mergeCell ref="A63:D63"/>
    <mergeCell ref="D26:D28"/>
    <mergeCell ref="D38:D40"/>
    <mergeCell ref="D41:D43"/>
    <mergeCell ref="D44:D46"/>
    <mergeCell ref="A32:A34"/>
    <mergeCell ref="A35:A37"/>
    <mergeCell ref="A41:A43"/>
    <mergeCell ref="A26:A28"/>
    <mergeCell ref="A59:C59"/>
    <mergeCell ref="B47:C49"/>
    <mergeCell ref="A60:C60"/>
    <mergeCell ref="B32:C34"/>
    <mergeCell ref="B35:C37"/>
    <mergeCell ref="B38:C40"/>
    <mergeCell ref="B50:C52"/>
    <mergeCell ref="B41:C43"/>
    <mergeCell ref="D56:D58"/>
    <mergeCell ref="D50:D52"/>
    <mergeCell ref="A44:A46"/>
    <mergeCell ref="A47:A49"/>
    <mergeCell ref="A53:A55"/>
    <mergeCell ref="D53:D55"/>
    <mergeCell ref="B53:C55"/>
    <mergeCell ref="A56:C58"/>
    <mergeCell ref="B44:C46"/>
    <mergeCell ref="A50:A52"/>
    <mergeCell ref="A7:B7"/>
    <mergeCell ref="A10:A12"/>
    <mergeCell ref="D47:D49"/>
    <mergeCell ref="D29:D31"/>
    <mergeCell ref="A20:A22"/>
    <mergeCell ref="B10:C12"/>
    <mergeCell ref="B13:C13"/>
    <mergeCell ref="D32:D34"/>
    <mergeCell ref="B29:C31"/>
    <mergeCell ref="D17:D19"/>
    <mergeCell ref="A38:A40"/>
    <mergeCell ref="A29:A31"/>
    <mergeCell ref="B26:C28"/>
    <mergeCell ref="D35:D3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04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I34"/>
  <sheetViews>
    <sheetView topLeftCell="A13" zoomScale="84" zoomScaleNormal="84" workbookViewId="0">
      <selection activeCell="I34" sqref="A1:I34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900" t="s">
        <v>78</v>
      </c>
      <c r="B1" s="901"/>
      <c r="C1" s="901"/>
      <c r="D1" s="902"/>
      <c r="E1" s="903"/>
      <c r="F1" s="903"/>
      <c r="G1" s="902"/>
      <c r="H1" s="903"/>
      <c r="I1" s="904"/>
    </row>
    <row r="2" spans="1:9" ht="14.25">
      <c r="A2" s="908" t="str">
        <f>QUANT!A2</f>
        <v>BAIRRO: NOVA ESPERANÇA</v>
      </c>
      <c r="B2" s="909"/>
      <c r="C2" s="909"/>
      <c r="D2" s="909"/>
      <c r="E2" s="909"/>
      <c r="F2" s="909"/>
      <c r="G2" s="909"/>
      <c r="H2" s="909"/>
      <c r="I2" s="910"/>
    </row>
    <row r="3" spans="1:9" ht="30" customHeight="1">
      <c r="A3" s="911" t="str">
        <f>QUANT!A3</f>
        <v>RUAS: NOVA ESPERAÇA</v>
      </c>
      <c r="B3" s="912"/>
      <c r="C3" s="912"/>
      <c r="D3" s="912"/>
      <c r="E3" s="912"/>
      <c r="F3" s="912"/>
      <c r="G3" s="912"/>
      <c r="H3" s="912"/>
      <c r="I3" s="913"/>
    </row>
    <row r="4" spans="1:9">
      <c r="A4" s="914" t="s">
        <v>295</v>
      </c>
      <c r="B4" s="915"/>
      <c r="C4" s="915"/>
      <c r="D4" s="915"/>
      <c r="E4" s="915"/>
      <c r="F4" s="915"/>
      <c r="G4" s="915"/>
      <c r="H4" s="915"/>
      <c r="I4" s="916"/>
    </row>
    <row r="5" spans="1:9" ht="13.5" thickBot="1">
      <c r="A5" s="934" t="s">
        <v>77</v>
      </c>
      <c r="B5" s="935"/>
      <c r="C5" s="935"/>
      <c r="D5" s="936"/>
      <c r="E5" s="935"/>
      <c r="F5" s="935"/>
      <c r="G5" s="936"/>
      <c r="H5" s="935"/>
      <c r="I5" s="937"/>
    </row>
    <row r="6" spans="1:9" ht="16.5" customHeight="1">
      <c r="A6" s="919" t="s">
        <v>172</v>
      </c>
      <c r="B6" s="920"/>
      <c r="C6" s="920"/>
      <c r="D6" s="920"/>
      <c r="E6" s="920"/>
      <c r="F6" s="920"/>
      <c r="G6" s="920"/>
      <c r="H6" s="920"/>
      <c r="I6" s="921"/>
    </row>
    <row r="7" spans="1:9" ht="16.5" customHeight="1" thickBot="1">
      <c r="A7" s="922"/>
      <c r="B7" s="923"/>
      <c r="C7" s="923"/>
      <c r="D7" s="923"/>
      <c r="E7" s="923"/>
      <c r="F7" s="923"/>
      <c r="G7" s="923"/>
      <c r="H7" s="923"/>
      <c r="I7" s="924"/>
    </row>
    <row r="8" spans="1:9" ht="15">
      <c r="A8" s="917" t="s">
        <v>29</v>
      </c>
      <c r="B8" s="925" t="s">
        <v>0</v>
      </c>
      <c r="C8" s="926"/>
      <c r="D8" s="927"/>
      <c r="E8" s="37" t="s">
        <v>62</v>
      </c>
      <c r="F8" s="37" t="s">
        <v>63</v>
      </c>
      <c r="G8" s="37" t="s">
        <v>64</v>
      </c>
      <c r="H8" s="37" t="s">
        <v>65</v>
      </c>
      <c r="I8" s="38" t="s">
        <v>66</v>
      </c>
    </row>
    <row r="9" spans="1:9" ht="15.75" thickBot="1">
      <c r="A9" s="918"/>
      <c r="B9" s="928"/>
      <c r="C9" s="929"/>
      <c r="D9" s="930"/>
      <c r="E9" s="39" t="s">
        <v>67</v>
      </c>
      <c r="F9" s="39" t="s">
        <v>68</v>
      </c>
      <c r="G9" s="39" t="s">
        <v>68</v>
      </c>
      <c r="H9" s="39" t="s">
        <v>68</v>
      </c>
      <c r="I9" s="40" t="s">
        <v>68</v>
      </c>
    </row>
    <row r="10" spans="1:9" ht="15">
      <c r="A10" s="32" t="s">
        <v>38</v>
      </c>
      <c r="B10" s="931" t="s">
        <v>69</v>
      </c>
      <c r="C10" s="932"/>
      <c r="D10" s="933"/>
      <c r="E10" s="33">
        <f>SUM(E11:E14)</f>
        <v>6.080000000000001</v>
      </c>
      <c r="F10" s="33"/>
      <c r="G10" s="34"/>
      <c r="H10" s="35"/>
      <c r="I10" s="36"/>
    </row>
    <row r="11" spans="1:9" ht="15">
      <c r="A11" s="15" t="s">
        <v>39</v>
      </c>
      <c r="B11" s="905" t="s">
        <v>70</v>
      </c>
      <c r="C11" s="906"/>
      <c r="D11" s="907"/>
      <c r="E11" s="12">
        <v>4.01</v>
      </c>
      <c r="F11" s="12"/>
      <c r="G11" s="12"/>
      <c r="H11" s="13"/>
      <c r="I11" s="14"/>
    </row>
    <row r="12" spans="1:9" ht="15">
      <c r="A12" s="15" t="s">
        <v>40</v>
      </c>
      <c r="B12" s="130" t="s">
        <v>95</v>
      </c>
      <c r="C12" s="128"/>
      <c r="D12" s="129"/>
      <c r="E12" s="12">
        <v>0.4</v>
      </c>
      <c r="F12" s="12"/>
      <c r="G12" s="12"/>
      <c r="H12" s="13"/>
      <c r="I12" s="14"/>
    </row>
    <row r="13" spans="1:9" ht="15">
      <c r="A13" s="15" t="s">
        <v>71</v>
      </c>
      <c r="B13" s="905" t="s">
        <v>60</v>
      </c>
      <c r="C13" s="906"/>
      <c r="D13" s="907"/>
      <c r="E13" s="12">
        <v>0.56000000000000005</v>
      </c>
      <c r="F13" s="12"/>
      <c r="G13" s="12"/>
      <c r="H13" s="13"/>
      <c r="I13" s="14"/>
    </row>
    <row r="14" spans="1:9" ht="15">
      <c r="A14" s="15" t="s">
        <v>94</v>
      </c>
      <c r="B14" s="905" t="s">
        <v>59</v>
      </c>
      <c r="C14" s="906"/>
      <c r="D14" s="907"/>
      <c r="E14" s="12">
        <v>1.1100000000000001</v>
      </c>
      <c r="F14" s="12"/>
      <c r="G14" s="12"/>
      <c r="H14" s="13"/>
      <c r="I14" s="14"/>
    </row>
    <row r="15" spans="1:9" ht="15">
      <c r="A15" s="16"/>
      <c r="B15" s="938"/>
      <c r="C15" s="939"/>
      <c r="D15" s="940"/>
      <c r="E15" s="17"/>
      <c r="F15" s="18"/>
      <c r="G15" s="17"/>
      <c r="H15" s="19"/>
      <c r="I15" s="20"/>
    </row>
    <row r="16" spans="1:9" ht="15">
      <c r="A16" s="10" t="s">
        <v>30</v>
      </c>
      <c r="B16" s="941" t="s">
        <v>72</v>
      </c>
      <c r="C16" s="906"/>
      <c r="D16" s="907"/>
      <c r="E16" s="11">
        <f>E17</f>
        <v>7.3</v>
      </c>
      <c r="F16" s="11"/>
      <c r="G16" s="12"/>
      <c r="H16" s="13"/>
      <c r="I16" s="14"/>
    </row>
    <row r="17" spans="1:9" ht="15">
      <c r="A17" s="15" t="s">
        <v>37</v>
      </c>
      <c r="B17" s="905" t="s">
        <v>73</v>
      </c>
      <c r="C17" s="906"/>
      <c r="D17" s="907"/>
      <c r="E17" s="12">
        <v>7.3</v>
      </c>
      <c r="F17" s="12"/>
      <c r="G17" s="12"/>
      <c r="H17" s="13"/>
      <c r="I17" s="14"/>
    </row>
    <row r="18" spans="1:9" ht="15">
      <c r="A18" s="21"/>
      <c r="B18" s="944"/>
      <c r="C18" s="945"/>
      <c r="D18" s="946"/>
      <c r="E18" s="22"/>
      <c r="F18" s="23"/>
      <c r="G18" s="22"/>
      <c r="H18" s="24"/>
      <c r="I18" s="25"/>
    </row>
    <row r="19" spans="1:9" ht="15">
      <c r="A19" s="10" t="s">
        <v>31</v>
      </c>
      <c r="B19" s="941" t="s">
        <v>74</v>
      </c>
      <c r="C19" s="906"/>
      <c r="D19" s="907"/>
      <c r="E19" s="11">
        <f>E20+E21+E23+E22</f>
        <v>5.65</v>
      </c>
      <c r="F19" s="11"/>
      <c r="G19" s="12"/>
      <c r="H19" s="26"/>
      <c r="I19" s="14"/>
    </row>
    <row r="20" spans="1:9" ht="15">
      <c r="A20" s="15" t="s">
        <v>36</v>
      </c>
      <c r="B20" s="905" t="s">
        <v>96</v>
      </c>
      <c r="C20" s="906"/>
      <c r="D20" s="907"/>
      <c r="E20" s="43">
        <v>0.65</v>
      </c>
      <c r="F20" s="12"/>
      <c r="G20" s="12"/>
      <c r="H20" s="26"/>
      <c r="I20" s="14"/>
    </row>
    <row r="21" spans="1:9" ht="15">
      <c r="A21" s="15" t="s">
        <v>32</v>
      </c>
      <c r="B21" s="905" t="s">
        <v>97</v>
      </c>
      <c r="C21" s="906"/>
      <c r="D21" s="907"/>
      <c r="E21" s="12">
        <v>3</v>
      </c>
      <c r="F21" s="12"/>
      <c r="G21" s="12"/>
      <c r="H21" s="26"/>
      <c r="I21" s="14"/>
    </row>
    <row r="22" spans="1:9" ht="15">
      <c r="A22" s="15" t="s">
        <v>43</v>
      </c>
      <c r="B22" s="905" t="s">
        <v>98</v>
      </c>
      <c r="C22" s="947"/>
      <c r="D22" s="948"/>
      <c r="E22" s="12">
        <v>2</v>
      </c>
      <c r="F22" s="12"/>
      <c r="G22" s="12"/>
      <c r="H22" s="26"/>
      <c r="I22" s="14"/>
    </row>
    <row r="23" spans="1:9" ht="15">
      <c r="A23" s="15" t="s">
        <v>44</v>
      </c>
      <c r="B23" s="905" t="s">
        <v>61</v>
      </c>
      <c r="C23" s="906"/>
      <c r="D23" s="907"/>
      <c r="E23" s="12">
        <v>0</v>
      </c>
      <c r="F23" s="12"/>
      <c r="G23" s="12"/>
      <c r="H23" s="13"/>
      <c r="I23" s="14"/>
    </row>
    <row r="24" spans="1:9">
      <c r="A24" s="15"/>
      <c r="B24" s="941" t="s">
        <v>75</v>
      </c>
      <c r="C24" s="906"/>
      <c r="D24" s="907"/>
      <c r="E24" s="27"/>
      <c r="F24" s="27"/>
      <c r="G24" s="28"/>
      <c r="H24" s="29"/>
      <c r="I24" s="30"/>
    </row>
    <row r="25" spans="1:9" ht="12.75" customHeight="1">
      <c r="A25" s="953" t="s">
        <v>76</v>
      </c>
      <c r="B25" s="954"/>
      <c r="C25" s="954"/>
      <c r="D25" s="955"/>
      <c r="E25" s="951">
        <f>TRUNC((((1+((E11+E12+E13)/100))*(1+((E14)/100))*(1+((E16/100)))/(1-((E20+E21+E22+E23)/100)))-1),4)</f>
        <v>0.20699999999999999</v>
      </c>
      <c r="F25" s="942"/>
      <c r="G25" s="942"/>
      <c r="H25" s="942"/>
      <c r="I25" s="949">
        <v>0</v>
      </c>
    </row>
    <row r="26" spans="1:9" ht="23.25" customHeight="1" thickBot="1">
      <c r="A26" s="956"/>
      <c r="B26" s="957"/>
      <c r="C26" s="957"/>
      <c r="D26" s="958"/>
      <c r="E26" s="952"/>
      <c r="F26" s="943"/>
      <c r="G26" s="943"/>
      <c r="H26" s="943"/>
      <c r="I26" s="950"/>
    </row>
    <row r="27" spans="1:9">
      <c r="A27" s="68"/>
      <c r="B27" s="69"/>
      <c r="C27" s="70"/>
      <c r="D27" s="70"/>
      <c r="E27" s="69"/>
      <c r="F27" s="71"/>
      <c r="G27" s="72"/>
      <c r="H27" s="72"/>
      <c r="I27" s="73"/>
    </row>
    <row r="28" spans="1:9" ht="12.75" customHeight="1">
      <c r="A28" s="41" t="s">
        <v>99</v>
      </c>
      <c r="B28" s="74"/>
      <c r="C28" s="31"/>
      <c r="D28" s="31"/>
      <c r="E28" s="31"/>
      <c r="F28" s="58"/>
      <c r="G28" s="61"/>
      <c r="H28" s="59"/>
      <c r="I28" s="60"/>
    </row>
    <row r="29" spans="1:9">
      <c r="A29" s="41"/>
      <c r="B29" s="31"/>
      <c r="C29" s="57"/>
      <c r="D29" s="57"/>
      <c r="E29" s="31"/>
      <c r="F29" s="58"/>
      <c r="G29" s="59"/>
      <c r="H29" s="59"/>
      <c r="I29" s="60"/>
    </row>
    <row r="30" spans="1:9" ht="15.75">
      <c r="A30" s="41"/>
      <c r="B30" s="31"/>
      <c r="C30" s="31"/>
      <c r="D30" s="31"/>
      <c r="E30" s="31"/>
      <c r="F30" s="58"/>
      <c r="G30" s="961"/>
      <c r="H30" s="961"/>
      <c r="I30" s="62"/>
    </row>
    <row r="31" spans="1:9" ht="15.75">
      <c r="A31" s="41"/>
      <c r="B31" s="959"/>
      <c r="C31" s="960"/>
      <c r="D31" s="960"/>
      <c r="E31" s="960"/>
      <c r="F31" s="63"/>
      <c r="G31" s="961"/>
      <c r="H31" s="961"/>
      <c r="I31" s="62"/>
    </row>
    <row r="32" spans="1:9" ht="15.75">
      <c r="A32" s="41"/>
      <c r="B32" s="960"/>
      <c r="C32" s="960"/>
      <c r="D32" s="960"/>
      <c r="E32" s="960"/>
      <c r="F32" s="58"/>
      <c r="G32" s="961"/>
      <c r="H32" s="961"/>
      <c r="I32" s="62"/>
    </row>
    <row r="33" spans="1:9" ht="15.75">
      <c r="A33" s="41"/>
      <c r="B33" s="963"/>
      <c r="C33" s="960"/>
      <c r="D33" s="960"/>
      <c r="E33" s="960"/>
      <c r="F33" s="58"/>
      <c r="G33" s="961"/>
      <c r="H33" s="962"/>
      <c r="I33" s="62"/>
    </row>
    <row r="34" spans="1:9" ht="13.5" thickBot="1">
      <c r="A34" s="42"/>
      <c r="B34" s="935"/>
      <c r="C34" s="935"/>
      <c r="D34" s="935"/>
      <c r="E34" s="935"/>
      <c r="F34" s="64"/>
      <c r="G34" s="65"/>
      <c r="H34" s="66"/>
      <c r="I34" s="67"/>
    </row>
  </sheetData>
  <mergeCells count="38">
    <mergeCell ref="B31:E32"/>
    <mergeCell ref="G32:G33"/>
    <mergeCell ref="H32:H33"/>
    <mergeCell ref="B33:E34"/>
    <mergeCell ref="G30:G31"/>
    <mergeCell ref="H30:H31"/>
    <mergeCell ref="I25:I26"/>
    <mergeCell ref="E25:E26"/>
    <mergeCell ref="B23:D23"/>
    <mergeCell ref="B24:D24"/>
    <mergeCell ref="A25:D26"/>
    <mergeCell ref="B15:D15"/>
    <mergeCell ref="B16:D16"/>
    <mergeCell ref="B17:D17"/>
    <mergeCell ref="B14:D14"/>
    <mergeCell ref="H25:H26"/>
    <mergeCell ref="F25:F26"/>
    <mergeCell ref="G25:G26"/>
    <mergeCell ref="B18:D18"/>
    <mergeCell ref="B19:D19"/>
    <mergeCell ref="B20:D20"/>
    <mergeCell ref="B21:D21"/>
    <mergeCell ref="B22:D22"/>
    <mergeCell ref="A1:C1"/>
    <mergeCell ref="D1:F1"/>
    <mergeCell ref="G1:I1"/>
    <mergeCell ref="B11:D11"/>
    <mergeCell ref="B13:D13"/>
    <mergeCell ref="A2:I2"/>
    <mergeCell ref="A3:I3"/>
    <mergeCell ref="A4:I4"/>
    <mergeCell ref="A8:A9"/>
    <mergeCell ref="A6:I7"/>
    <mergeCell ref="B8:D9"/>
    <mergeCell ref="B10:D10"/>
    <mergeCell ref="A5:C5"/>
    <mergeCell ref="D5:F5"/>
    <mergeCell ref="G5:I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I34"/>
  <sheetViews>
    <sheetView zoomScale="68" zoomScaleNormal="68" workbookViewId="0">
      <selection activeCell="I33" sqref="A1:I34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974" t="s">
        <v>78</v>
      </c>
      <c r="B1" s="975"/>
      <c r="C1" s="975"/>
      <c r="D1" s="976"/>
      <c r="E1" s="975"/>
      <c r="F1" s="975"/>
      <c r="G1" s="976"/>
      <c r="H1" s="975"/>
      <c r="I1" s="977"/>
    </row>
    <row r="2" spans="1:9" ht="15.75">
      <c r="A2" s="971" t="str">
        <f>QUANT!A2</f>
        <v>BAIRRO: NOVA ESPERANÇA</v>
      </c>
      <c r="B2" s="978"/>
      <c r="C2" s="978"/>
      <c r="D2" s="972"/>
      <c r="E2" s="978"/>
      <c r="F2" s="978"/>
      <c r="G2" s="972"/>
      <c r="H2" s="978"/>
      <c r="I2" s="979"/>
    </row>
    <row r="3" spans="1:9" ht="29.25" customHeight="1">
      <c r="A3" s="968" t="str">
        <f>QUANT!A3</f>
        <v>RUAS: NOVA ESPERAÇA</v>
      </c>
      <c r="B3" s="969"/>
      <c r="C3" s="969"/>
      <c r="D3" s="969"/>
      <c r="E3" s="969"/>
      <c r="F3" s="969"/>
      <c r="G3" s="969"/>
      <c r="H3" s="969"/>
      <c r="I3" s="970"/>
    </row>
    <row r="4" spans="1:9" ht="15.75">
      <c r="A4" s="971" t="s">
        <v>295</v>
      </c>
      <c r="B4" s="972"/>
      <c r="C4" s="972"/>
      <c r="D4" s="972"/>
      <c r="E4" s="972"/>
      <c r="F4" s="972"/>
      <c r="G4" s="972"/>
      <c r="H4" s="972"/>
      <c r="I4" s="973"/>
    </row>
    <row r="5" spans="1:9">
      <c r="A5" s="964" t="s">
        <v>77</v>
      </c>
      <c r="B5" s="965"/>
      <c r="C5" s="965"/>
      <c r="D5" s="966"/>
      <c r="E5" s="965"/>
      <c r="F5" s="965"/>
      <c r="G5" s="966"/>
      <c r="H5" s="965"/>
      <c r="I5" s="967"/>
    </row>
    <row r="6" spans="1:9" ht="16.5" customHeight="1">
      <c r="A6" s="919" t="s">
        <v>172</v>
      </c>
      <c r="B6" s="920"/>
      <c r="C6" s="920"/>
      <c r="D6" s="920"/>
      <c r="E6" s="920"/>
      <c r="F6" s="920"/>
      <c r="G6" s="920"/>
      <c r="H6" s="920"/>
      <c r="I6" s="921"/>
    </row>
    <row r="7" spans="1:9" ht="16.5" customHeight="1" thickBot="1">
      <c r="A7" s="922"/>
      <c r="B7" s="923"/>
      <c r="C7" s="923"/>
      <c r="D7" s="923"/>
      <c r="E7" s="923"/>
      <c r="F7" s="923"/>
      <c r="G7" s="923"/>
      <c r="H7" s="923"/>
      <c r="I7" s="924"/>
    </row>
    <row r="8" spans="1:9" ht="15">
      <c r="A8" s="917" t="s">
        <v>29</v>
      </c>
      <c r="B8" s="925" t="s">
        <v>0</v>
      </c>
      <c r="C8" s="926"/>
      <c r="D8" s="927"/>
      <c r="E8" s="37" t="s">
        <v>62</v>
      </c>
      <c r="F8" s="37" t="s">
        <v>63</v>
      </c>
      <c r="G8" s="37" t="s">
        <v>64</v>
      </c>
      <c r="H8" s="37" t="s">
        <v>65</v>
      </c>
      <c r="I8" s="38" t="s">
        <v>66</v>
      </c>
    </row>
    <row r="9" spans="1:9" ht="15.75" thickBot="1">
      <c r="A9" s="918"/>
      <c r="B9" s="928"/>
      <c r="C9" s="929"/>
      <c r="D9" s="930"/>
      <c r="E9" s="39" t="s">
        <v>67</v>
      </c>
      <c r="F9" s="39" t="s">
        <v>68</v>
      </c>
      <c r="G9" s="39" t="s">
        <v>68</v>
      </c>
      <c r="H9" s="39" t="s">
        <v>68</v>
      </c>
      <c r="I9" s="40" t="s">
        <v>68</v>
      </c>
    </row>
    <row r="10" spans="1:9" ht="15">
      <c r="A10" s="32" t="s">
        <v>38</v>
      </c>
      <c r="B10" s="931" t="s">
        <v>69</v>
      </c>
      <c r="C10" s="932"/>
      <c r="D10" s="933"/>
      <c r="E10" s="33">
        <f>SUM(E11:E14)</f>
        <v>5.63</v>
      </c>
      <c r="F10" s="33"/>
      <c r="G10" s="34"/>
      <c r="H10" s="35"/>
      <c r="I10" s="36"/>
    </row>
    <row r="11" spans="1:9" ht="15">
      <c r="A11" s="15" t="s">
        <v>39</v>
      </c>
      <c r="B11" s="905" t="s">
        <v>70</v>
      </c>
      <c r="C11" s="906"/>
      <c r="D11" s="907"/>
      <c r="E11" s="12">
        <v>3.45</v>
      </c>
      <c r="F11" s="12"/>
      <c r="G11" s="12"/>
      <c r="H11" s="13"/>
      <c r="I11" s="14"/>
    </row>
    <row r="12" spans="1:9" ht="15">
      <c r="A12" s="15" t="s">
        <v>40</v>
      </c>
      <c r="B12" s="222" t="s">
        <v>95</v>
      </c>
      <c r="C12" s="220"/>
      <c r="D12" s="221"/>
      <c r="E12" s="12">
        <v>0.48</v>
      </c>
      <c r="F12" s="12"/>
      <c r="G12" s="12"/>
      <c r="H12" s="13"/>
      <c r="I12" s="14"/>
    </row>
    <row r="13" spans="1:9" ht="15">
      <c r="A13" s="15" t="s">
        <v>71</v>
      </c>
      <c r="B13" s="905" t="s">
        <v>60</v>
      </c>
      <c r="C13" s="906"/>
      <c r="D13" s="907"/>
      <c r="E13" s="12">
        <v>0.85</v>
      </c>
      <c r="F13" s="12"/>
      <c r="G13" s="12"/>
      <c r="H13" s="13"/>
      <c r="I13" s="14"/>
    </row>
    <row r="14" spans="1:9" ht="15">
      <c r="A14" s="15" t="s">
        <v>94</v>
      </c>
      <c r="B14" s="905" t="s">
        <v>59</v>
      </c>
      <c r="C14" s="906"/>
      <c r="D14" s="907"/>
      <c r="E14" s="12">
        <v>0.85</v>
      </c>
      <c r="F14" s="12"/>
      <c r="G14" s="12"/>
      <c r="H14" s="13"/>
      <c r="I14" s="14"/>
    </row>
    <row r="15" spans="1:9" ht="15">
      <c r="A15" s="16"/>
      <c r="B15" s="938"/>
      <c r="C15" s="939"/>
      <c r="D15" s="940"/>
      <c r="E15" s="17"/>
      <c r="F15" s="18"/>
      <c r="G15" s="17"/>
      <c r="H15" s="19"/>
      <c r="I15" s="20"/>
    </row>
    <row r="16" spans="1:9" ht="15">
      <c r="A16" s="10" t="s">
        <v>30</v>
      </c>
      <c r="B16" s="941" t="s">
        <v>72</v>
      </c>
      <c r="C16" s="906"/>
      <c r="D16" s="907"/>
      <c r="E16" s="11">
        <f>E17</f>
        <v>5.1100000000000003</v>
      </c>
      <c r="F16" s="11"/>
      <c r="G16" s="12"/>
      <c r="H16" s="13"/>
      <c r="I16" s="14"/>
    </row>
    <row r="17" spans="1:9" ht="15">
      <c r="A17" s="15" t="s">
        <v>37</v>
      </c>
      <c r="B17" s="905" t="s">
        <v>73</v>
      </c>
      <c r="C17" s="906"/>
      <c r="D17" s="907"/>
      <c r="E17" s="12">
        <v>5.1100000000000003</v>
      </c>
      <c r="F17" s="12"/>
      <c r="G17" s="12"/>
      <c r="H17" s="13"/>
      <c r="I17" s="14"/>
    </row>
    <row r="18" spans="1:9" ht="15">
      <c r="A18" s="21"/>
      <c r="B18" s="944"/>
      <c r="C18" s="945"/>
      <c r="D18" s="946"/>
      <c r="E18" s="22"/>
      <c r="F18" s="23"/>
      <c r="G18" s="22"/>
      <c r="H18" s="24"/>
      <c r="I18" s="25"/>
    </row>
    <row r="19" spans="1:9" ht="15">
      <c r="A19" s="10" t="s">
        <v>31</v>
      </c>
      <c r="B19" s="941" t="s">
        <v>74</v>
      </c>
      <c r="C19" s="906"/>
      <c r="D19" s="907"/>
      <c r="E19" s="11">
        <f>E20+E21+E23+E22</f>
        <v>3.65</v>
      </c>
      <c r="F19" s="11"/>
      <c r="G19" s="12"/>
      <c r="H19" s="26"/>
      <c r="I19" s="14"/>
    </row>
    <row r="20" spans="1:9" ht="15">
      <c r="A20" s="15" t="s">
        <v>36</v>
      </c>
      <c r="B20" s="905" t="s">
        <v>96</v>
      </c>
      <c r="C20" s="906"/>
      <c r="D20" s="907"/>
      <c r="E20" s="43">
        <v>0.65</v>
      </c>
      <c r="F20" s="12"/>
      <c r="G20" s="12"/>
      <c r="H20" s="26"/>
      <c r="I20" s="14"/>
    </row>
    <row r="21" spans="1:9" ht="15">
      <c r="A21" s="15" t="s">
        <v>32</v>
      </c>
      <c r="B21" s="905" t="s">
        <v>97</v>
      </c>
      <c r="C21" s="906"/>
      <c r="D21" s="907"/>
      <c r="E21" s="12">
        <v>3</v>
      </c>
      <c r="F21" s="12"/>
      <c r="G21" s="12"/>
      <c r="H21" s="26"/>
      <c r="I21" s="14"/>
    </row>
    <row r="22" spans="1:9" ht="15">
      <c r="A22" s="15" t="s">
        <v>43</v>
      </c>
      <c r="B22" s="905" t="s">
        <v>98</v>
      </c>
      <c r="C22" s="947"/>
      <c r="D22" s="948"/>
      <c r="E22" s="12">
        <v>0</v>
      </c>
      <c r="F22" s="12"/>
      <c r="G22" s="12"/>
      <c r="H22" s="26"/>
      <c r="I22" s="14"/>
    </row>
    <row r="23" spans="1:9" ht="15">
      <c r="A23" s="15" t="s">
        <v>44</v>
      </c>
      <c r="B23" s="905" t="s">
        <v>61</v>
      </c>
      <c r="C23" s="906"/>
      <c r="D23" s="907"/>
      <c r="E23" s="12">
        <v>0</v>
      </c>
      <c r="F23" s="12"/>
      <c r="G23" s="12"/>
      <c r="H23" s="13"/>
      <c r="I23" s="14"/>
    </row>
    <row r="24" spans="1:9">
      <c r="A24" s="15"/>
      <c r="B24" s="941" t="s">
        <v>75</v>
      </c>
      <c r="C24" s="906"/>
      <c r="D24" s="907"/>
      <c r="E24" s="27"/>
      <c r="F24" s="27"/>
      <c r="G24" s="28"/>
      <c r="H24" s="29"/>
      <c r="I24" s="30"/>
    </row>
    <row r="25" spans="1:9" ht="12.75" customHeight="1">
      <c r="A25" s="953" t="s">
        <v>76</v>
      </c>
      <c r="B25" s="954"/>
      <c r="C25" s="954"/>
      <c r="D25" s="955"/>
      <c r="E25" s="951">
        <f>TRUNC(((((1+((E11+E12+E13)/100))*(1+((E14)/100))*(1+((E16/100)))/(1-((E20+E21+E22+E23)/100)))-1)),4)</f>
        <v>0.1527</v>
      </c>
      <c r="F25" s="942"/>
      <c r="G25" s="942"/>
      <c r="H25" s="942"/>
      <c r="I25" s="949">
        <v>0</v>
      </c>
    </row>
    <row r="26" spans="1:9" ht="23.25" customHeight="1" thickBot="1">
      <c r="A26" s="956"/>
      <c r="B26" s="957"/>
      <c r="C26" s="957"/>
      <c r="D26" s="958"/>
      <c r="E26" s="952"/>
      <c r="F26" s="943"/>
      <c r="G26" s="943"/>
      <c r="H26" s="943"/>
      <c r="I26" s="950"/>
    </row>
    <row r="27" spans="1:9">
      <c r="A27" s="68"/>
      <c r="B27" s="69"/>
      <c r="C27" s="70"/>
      <c r="D27" s="70"/>
      <c r="E27" s="69"/>
      <c r="F27" s="71"/>
      <c r="G27" s="72"/>
      <c r="H27" s="72"/>
      <c r="I27" s="73"/>
    </row>
    <row r="28" spans="1:9" ht="12.75" customHeight="1">
      <c r="A28" s="41" t="s">
        <v>99</v>
      </c>
      <c r="B28" s="74"/>
      <c r="C28" s="31"/>
      <c r="D28" s="31"/>
      <c r="E28" s="31"/>
      <c r="F28" s="58"/>
      <c r="G28" s="61"/>
      <c r="H28" s="59"/>
      <c r="I28" s="60"/>
    </row>
    <row r="29" spans="1:9">
      <c r="A29" s="41"/>
      <c r="B29" s="31"/>
      <c r="C29" s="57"/>
      <c r="D29" s="57"/>
      <c r="E29" s="31"/>
      <c r="F29" s="58"/>
      <c r="G29" s="59"/>
      <c r="H29" s="59"/>
      <c r="I29" s="60"/>
    </row>
    <row r="30" spans="1:9" ht="15.75">
      <c r="A30" s="41"/>
      <c r="B30" s="31"/>
      <c r="C30" s="31"/>
      <c r="D30" s="31"/>
      <c r="E30" s="31"/>
      <c r="F30" s="58"/>
      <c r="G30" s="961"/>
      <c r="H30" s="961"/>
      <c r="I30" s="62"/>
    </row>
    <row r="31" spans="1:9" ht="15.75">
      <c r="A31" s="41"/>
      <c r="B31" s="959"/>
      <c r="C31" s="960"/>
      <c r="D31" s="960"/>
      <c r="E31" s="960"/>
      <c r="F31" s="63"/>
      <c r="G31" s="961"/>
      <c r="H31" s="961"/>
      <c r="I31" s="62"/>
    </row>
    <row r="32" spans="1:9" ht="15.75">
      <c r="A32" s="41"/>
      <c r="B32" s="960"/>
      <c r="C32" s="960"/>
      <c r="D32" s="960"/>
      <c r="E32" s="960"/>
      <c r="F32" s="58"/>
      <c r="G32" s="961"/>
      <c r="H32" s="961"/>
      <c r="I32" s="62"/>
    </row>
    <row r="33" spans="1:9" ht="15.75">
      <c r="A33" s="41"/>
      <c r="B33" s="963"/>
      <c r="C33" s="960"/>
      <c r="D33" s="960"/>
      <c r="E33" s="960"/>
      <c r="F33" s="58"/>
      <c r="G33" s="961"/>
      <c r="H33" s="962"/>
      <c r="I33" s="62"/>
    </row>
    <row r="34" spans="1:9" ht="13.5" thickBot="1">
      <c r="A34" s="42"/>
      <c r="B34" s="935"/>
      <c r="C34" s="935"/>
      <c r="D34" s="935"/>
      <c r="E34" s="935"/>
      <c r="F34" s="64"/>
      <c r="G34" s="65"/>
      <c r="H34" s="66"/>
      <c r="I34" s="67"/>
    </row>
  </sheetData>
  <mergeCells count="40">
    <mergeCell ref="A3:I3"/>
    <mergeCell ref="A4:I4"/>
    <mergeCell ref="A1:C1"/>
    <mergeCell ref="D1:F1"/>
    <mergeCell ref="G1:I1"/>
    <mergeCell ref="A2:C2"/>
    <mergeCell ref="D2:F2"/>
    <mergeCell ref="G2:I2"/>
    <mergeCell ref="A5:C5"/>
    <mergeCell ref="D5:F5"/>
    <mergeCell ref="G5:I5"/>
    <mergeCell ref="A6:I7"/>
    <mergeCell ref="A8:A9"/>
    <mergeCell ref="B8:D9"/>
    <mergeCell ref="B22:D22"/>
    <mergeCell ref="B10:D10"/>
    <mergeCell ref="B11:D11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3:D23"/>
    <mergeCell ref="B24:D24"/>
    <mergeCell ref="A25:D26"/>
    <mergeCell ref="E25:E26"/>
    <mergeCell ref="F25:F26"/>
    <mergeCell ref="H25:H26"/>
    <mergeCell ref="I25:I26"/>
    <mergeCell ref="G30:G31"/>
    <mergeCell ref="H30:H31"/>
    <mergeCell ref="B31:E32"/>
    <mergeCell ref="G32:G33"/>
    <mergeCell ref="H32:H33"/>
    <mergeCell ref="B33:E34"/>
    <mergeCell ref="G25:G2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G21"/>
  <sheetViews>
    <sheetView zoomScale="110" zoomScaleNormal="110" zoomScaleSheetLayoutView="110" workbookViewId="0">
      <selection activeCell="G21" sqref="A1:G21"/>
    </sheetView>
  </sheetViews>
  <sheetFormatPr defaultRowHeight="12.75"/>
  <cols>
    <col min="1" max="1" width="13.7109375" customWidth="1"/>
    <col min="2" max="2" width="26.85546875" customWidth="1"/>
    <col min="3" max="3" width="15.42578125" bestFit="1" customWidth="1"/>
    <col min="4" max="4" width="11.7109375" bestFit="1" customWidth="1"/>
    <col min="5" max="5" width="6.140625" bestFit="1" customWidth="1"/>
    <col min="6" max="6" width="17.85546875" bestFit="1" customWidth="1"/>
    <col min="7" max="7" width="8.42578125" customWidth="1"/>
    <col min="8" max="8" width="10.42578125" customWidth="1"/>
    <col min="9" max="9" width="12.7109375" customWidth="1"/>
  </cols>
  <sheetData>
    <row r="1" spans="1:7">
      <c r="A1" s="986" t="s">
        <v>312</v>
      </c>
      <c r="B1" s="986"/>
      <c r="C1" s="986"/>
      <c r="D1" s="986"/>
      <c r="E1" s="986"/>
      <c r="F1" s="986"/>
      <c r="G1" s="986"/>
    </row>
    <row r="2" spans="1:7">
      <c r="A2" s="987"/>
      <c r="B2" s="988"/>
      <c r="C2" s="988"/>
      <c r="D2" s="988"/>
      <c r="E2" s="988"/>
      <c r="F2" s="988"/>
      <c r="G2" s="989"/>
    </row>
    <row r="3" spans="1:7">
      <c r="A3" s="982" t="s">
        <v>241</v>
      </c>
      <c r="B3" s="982"/>
      <c r="C3" s="45" t="s">
        <v>242</v>
      </c>
      <c r="D3" s="45" t="s">
        <v>243</v>
      </c>
      <c r="E3" s="164" t="s">
        <v>244</v>
      </c>
      <c r="F3" s="990" t="s">
        <v>245</v>
      </c>
      <c r="G3" s="982"/>
    </row>
    <row r="4" spans="1:7">
      <c r="A4" s="982"/>
      <c r="B4" s="982"/>
      <c r="C4" s="45" t="s">
        <v>246</v>
      </c>
      <c r="D4" s="45" t="s">
        <v>246</v>
      </c>
      <c r="E4" s="45" t="s">
        <v>247</v>
      </c>
      <c r="F4" s="990"/>
      <c r="G4" s="982"/>
    </row>
    <row r="5" spans="1:7">
      <c r="A5" s="982" t="s">
        <v>299</v>
      </c>
      <c r="B5" s="982"/>
      <c r="C5" s="982"/>
      <c r="D5" s="982"/>
      <c r="E5" s="982"/>
      <c r="F5" s="982"/>
      <c r="G5" s="6"/>
    </row>
    <row r="6" spans="1:7">
      <c r="A6" s="165" t="s">
        <v>248</v>
      </c>
      <c r="B6" s="45"/>
      <c r="C6" s="166">
        <v>392</v>
      </c>
      <c r="D6" s="166">
        <v>0.1</v>
      </c>
      <c r="E6" s="166">
        <f>D6*C6*0.25</f>
        <v>9.8000000000000007</v>
      </c>
      <c r="F6" s="5" t="s">
        <v>249</v>
      </c>
      <c r="G6" s="6"/>
    </row>
    <row r="7" spans="1:7">
      <c r="A7" s="165" t="s">
        <v>248</v>
      </c>
      <c r="B7" s="45"/>
      <c r="C7" s="166">
        <v>0</v>
      </c>
      <c r="D7" s="166">
        <v>0.1</v>
      </c>
      <c r="E7" s="166">
        <f>D7*C7</f>
        <v>0</v>
      </c>
      <c r="F7" s="5" t="s">
        <v>250</v>
      </c>
      <c r="G7" s="6"/>
    </row>
    <row r="8" spans="1:7" ht="15.75">
      <c r="A8" s="983" t="s">
        <v>251</v>
      </c>
      <c r="B8" s="984"/>
      <c r="C8" s="984"/>
      <c r="D8" s="984"/>
      <c r="E8" s="984"/>
      <c r="F8" s="984"/>
      <c r="G8" s="985"/>
    </row>
    <row r="9" spans="1:7">
      <c r="A9" s="45" t="s">
        <v>252</v>
      </c>
      <c r="B9" s="45" t="s">
        <v>14</v>
      </c>
      <c r="C9" s="167">
        <f>SUM(C6)</f>
        <v>392</v>
      </c>
      <c r="D9" s="171" t="s">
        <v>7</v>
      </c>
      <c r="E9" s="168" t="s">
        <v>244</v>
      </c>
      <c r="F9" s="167">
        <f>SUM(E6,)</f>
        <v>9.8000000000000007</v>
      </c>
      <c r="G9" s="169" t="s">
        <v>5</v>
      </c>
    </row>
    <row r="10" spans="1:7">
      <c r="A10" s="45" t="s">
        <v>250</v>
      </c>
      <c r="B10" s="45" t="s">
        <v>253</v>
      </c>
      <c r="C10" s="167">
        <f>SUM(C7)</f>
        <v>0</v>
      </c>
      <c r="D10" s="171" t="s">
        <v>7</v>
      </c>
      <c r="E10" s="172" t="s">
        <v>244</v>
      </c>
      <c r="F10" s="167">
        <f>SUM(E7,)</f>
        <v>0</v>
      </c>
      <c r="G10" s="169" t="s">
        <v>5</v>
      </c>
    </row>
    <row r="11" spans="1:7">
      <c r="A11" s="986" t="s">
        <v>254</v>
      </c>
      <c r="B11" s="986"/>
      <c r="C11" s="170">
        <f>SUM(C9:C10)</f>
        <v>392</v>
      </c>
      <c r="D11" s="171" t="s">
        <v>7</v>
      </c>
      <c r="E11" s="172"/>
      <c r="F11" s="167">
        <f>SUM(F9:F10)</f>
        <v>9.8000000000000007</v>
      </c>
      <c r="G11" s="169" t="s">
        <v>5</v>
      </c>
    </row>
    <row r="12" spans="1:7">
      <c r="A12" s="45"/>
      <c r="B12" s="45"/>
      <c r="C12" s="172"/>
      <c r="D12" s="172"/>
      <c r="E12" s="172"/>
      <c r="F12" s="173"/>
      <c r="G12" s="46"/>
    </row>
    <row r="13" spans="1:7" ht="15.75">
      <c r="A13" s="214" t="s">
        <v>255</v>
      </c>
      <c r="B13" s="212"/>
      <c r="C13" s="212"/>
      <c r="D13" s="212"/>
      <c r="E13" s="172"/>
      <c r="F13" s="172"/>
      <c r="G13" s="45"/>
    </row>
    <row r="14" spans="1:7">
      <c r="A14" s="991" t="s">
        <v>256</v>
      </c>
      <c r="B14" s="991"/>
      <c r="C14" s="170">
        <f>'[5]TERRAP E PAVIM'!H11*0.15*2</f>
        <v>117</v>
      </c>
      <c r="D14" s="169" t="s">
        <v>5</v>
      </c>
      <c r="E14" s="172"/>
      <c r="F14" s="172"/>
      <c r="G14" s="166"/>
    </row>
    <row r="15" spans="1:7">
      <c r="A15" s="980" t="s">
        <v>263</v>
      </c>
      <c r="B15" s="981"/>
      <c r="C15" s="170">
        <v>0</v>
      </c>
      <c r="D15" s="169" t="s">
        <v>5</v>
      </c>
      <c r="E15" s="172"/>
      <c r="F15" s="172"/>
      <c r="G15" s="166"/>
    </row>
    <row r="16" spans="1:7">
      <c r="A16" s="980" t="s">
        <v>257</v>
      </c>
      <c r="B16" s="981"/>
      <c r="C16" s="170">
        <f>(3*1.2)</f>
        <v>3.5999999999999996</v>
      </c>
      <c r="D16" s="169" t="s">
        <v>5</v>
      </c>
      <c r="E16" s="172"/>
      <c r="F16" s="172"/>
      <c r="G16" s="45"/>
    </row>
    <row r="17" spans="1:7">
      <c r="A17" s="980" t="s">
        <v>258</v>
      </c>
      <c r="B17" s="981"/>
      <c r="C17" s="174">
        <f>F9</f>
        <v>9.8000000000000007</v>
      </c>
      <c r="D17" s="169" t="s">
        <v>5</v>
      </c>
      <c r="E17" s="172"/>
      <c r="F17" s="172"/>
      <c r="G17" s="45"/>
    </row>
    <row r="18" spans="1:7">
      <c r="A18" s="169" t="s">
        <v>259</v>
      </c>
      <c r="B18" s="169"/>
      <c r="C18" s="170">
        <f>F10</f>
        <v>0</v>
      </c>
      <c r="D18" s="169" t="s">
        <v>5</v>
      </c>
      <c r="E18" s="172"/>
      <c r="F18" s="172"/>
      <c r="G18" s="45"/>
    </row>
    <row r="19" spans="1:7">
      <c r="A19" s="169" t="s">
        <v>260</v>
      </c>
      <c r="B19" s="169"/>
      <c r="C19" s="170">
        <f>C18+C17+C16+C14</f>
        <v>130.4</v>
      </c>
      <c r="D19" s="169" t="s">
        <v>5</v>
      </c>
      <c r="E19" s="45"/>
      <c r="F19" s="45"/>
      <c r="G19" s="45"/>
    </row>
    <row r="20" spans="1:7">
      <c r="A20" s="169" t="s">
        <v>262</v>
      </c>
      <c r="B20" s="169"/>
      <c r="C20" s="170">
        <v>0</v>
      </c>
      <c r="D20" s="169" t="s">
        <v>5</v>
      </c>
      <c r="E20" s="45"/>
      <c r="F20" s="45"/>
      <c r="G20" s="45"/>
    </row>
    <row r="21" spans="1:7">
      <c r="A21" s="169" t="s">
        <v>261</v>
      </c>
      <c r="B21" s="45"/>
      <c r="C21" s="170">
        <f>3*3.89+C16</f>
        <v>15.27</v>
      </c>
      <c r="D21" s="169" t="s">
        <v>5</v>
      </c>
      <c r="E21" s="45"/>
      <c r="F21" s="45"/>
      <c r="G21" s="45"/>
    </row>
  </sheetData>
  <mergeCells count="12">
    <mergeCell ref="A1:G1"/>
    <mergeCell ref="A2:G2"/>
    <mergeCell ref="F3:F4"/>
    <mergeCell ref="A14:B14"/>
    <mergeCell ref="A15:B15"/>
    <mergeCell ref="A17:B17"/>
    <mergeCell ref="G3:G4"/>
    <mergeCell ref="A3:B4"/>
    <mergeCell ref="A5:F5"/>
    <mergeCell ref="A8:G8"/>
    <mergeCell ref="A11:B11"/>
    <mergeCell ref="A16:B16"/>
  </mergeCells>
  <pageMargins left="0.511811024" right="0.511811024" top="0.78740157499999996" bottom="0.78740157499999996" header="0.31496062000000002" footer="0.31496062000000002"/>
  <pageSetup paperSize="9" scale="9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A1:H15"/>
  <sheetViews>
    <sheetView zoomScale="110" zoomScaleNormal="110" zoomScaleSheetLayoutView="110" workbookViewId="0">
      <selection activeCell="D14" sqref="D14:E15"/>
    </sheetView>
  </sheetViews>
  <sheetFormatPr defaultRowHeight="12.75"/>
  <cols>
    <col min="1" max="1" width="49.85546875" customWidth="1"/>
    <col min="2" max="2" width="18.140625" customWidth="1"/>
    <col min="3" max="3" width="10.140625" customWidth="1"/>
    <col min="4" max="4" width="15.5703125" customWidth="1"/>
    <col min="5" max="5" width="16.7109375" customWidth="1"/>
    <col min="6" max="6" width="14.85546875" customWidth="1"/>
  </cols>
  <sheetData>
    <row r="1" spans="1:8">
      <c r="A1" s="992" t="s">
        <v>306</v>
      </c>
      <c r="B1" s="993"/>
      <c r="C1" s="993"/>
      <c r="D1" s="993"/>
      <c r="E1" s="993"/>
      <c r="F1" s="994"/>
    </row>
    <row r="2" spans="1:8">
      <c r="A2" s="995"/>
      <c r="B2" s="988"/>
      <c r="C2" s="988"/>
      <c r="D2" s="988"/>
      <c r="E2" s="988"/>
      <c r="F2" s="996"/>
    </row>
    <row r="3" spans="1:8">
      <c r="A3" s="235" t="s">
        <v>189</v>
      </c>
      <c r="B3" s="47" t="s">
        <v>190</v>
      </c>
      <c r="C3" s="47"/>
      <c r="D3" s="161"/>
      <c r="E3" s="47"/>
      <c r="F3" s="236" t="s">
        <v>191</v>
      </c>
    </row>
    <row r="4" spans="1:8">
      <c r="A4" s="235" t="s">
        <v>192</v>
      </c>
      <c r="B4" s="45" t="s">
        <v>193</v>
      </c>
      <c r="C4" s="45" t="s">
        <v>15</v>
      </c>
      <c r="D4" s="162" t="s">
        <v>194</v>
      </c>
      <c r="E4" s="45" t="s">
        <v>195</v>
      </c>
      <c r="F4" s="236"/>
    </row>
    <row r="5" spans="1:8">
      <c r="A5" s="995" t="s">
        <v>307</v>
      </c>
      <c r="B5" s="988"/>
      <c r="C5" s="988"/>
      <c r="D5" s="988"/>
      <c r="E5" s="988"/>
      <c r="F5" s="996"/>
    </row>
    <row r="6" spans="1:8" ht="25.5">
      <c r="A6" s="237" t="s">
        <v>308</v>
      </c>
      <c r="B6" s="231" t="s">
        <v>196</v>
      </c>
      <c r="C6" s="231" t="s">
        <v>285</v>
      </c>
      <c r="D6" s="232">
        <v>0.6</v>
      </c>
      <c r="E6" s="233">
        <f>0.283</f>
        <v>0.28299999999999997</v>
      </c>
      <c r="F6" s="238"/>
      <c r="H6" s="157"/>
    </row>
    <row r="7" spans="1:8" ht="25.5">
      <c r="A7" s="237" t="s">
        <v>308</v>
      </c>
      <c r="B7" s="231" t="s">
        <v>197</v>
      </c>
      <c r="C7" s="231" t="s">
        <v>286</v>
      </c>
      <c r="D7" s="232" t="s">
        <v>287</v>
      </c>
      <c r="E7" s="233">
        <f>(0.25*0.45)</f>
        <v>0.1125</v>
      </c>
      <c r="F7" s="238">
        <v>2</v>
      </c>
    </row>
    <row r="8" spans="1:8" ht="25.5">
      <c r="A8" s="237" t="s">
        <v>309</v>
      </c>
      <c r="B8" s="231" t="s">
        <v>196</v>
      </c>
      <c r="C8" s="231" t="s">
        <v>285</v>
      </c>
      <c r="D8" s="232">
        <v>0.6</v>
      </c>
      <c r="E8" s="233">
        <f>0.283</f>
        <v>0.28299999999999997</v>
      </c>
      <c r="F8" s="238"/>
      <c r="H8" s="157"/>
    </row>
    <row r="9" spans="1:8" ht="25.5">
      <c r="A9" s="237" t="s">
        <v>309</v>
      </c>
      <c r="B9" s="231" t="s">
        <v>197</v>
      </c>
      <c r="C9" s="231" t="s">
        <v>286</v>
      </c>
      <c r="D9" s="232" t="s">
        <v>287</v>
      </c>
      <c r="E9" s="233">
        <f>(0.25*0.45)</f>
        <v>0.1125</v>
      </c>
      <c r="F9" s="238">
        <v>2</v>
      </c>
      <c r="H9" s="157"/>
    </row>
    <row r="10" spans="1:8" ht="25.5">
      <c r="A10" s="237" t="s">
        <v>310</v>
      </c>
      <c r="B10" s="6" t="s">
        <v>196</v>
      </c>
      <c r="C10" s="48" t="s">
        <v>297</v>
      </c>
      <c r="D10" s="191">
        <v>0.6</v>
      </c>
      <c r="E10" s="49">
        <f>0.283</f>
        <v>0.28299999999999997</v>
      </c>
      <c r="F10" s="238"/>
      <c r="H10" s="157"/>
    </row>
    <row r="11" spans="1:8" ht="25.5">
      <c r="A11" s="237" t="s">
        <v>310</v>
      </c>
      <c r="B11" s="6" t="s">
        <v>196</v>
      </c>
      <c r="C11" s="48" t="s">
        <v>311</v>
      </c>
      <c r="D11" s="191">
        <v>0.6</v>
      </c>
      <c r="E11" s="49">
        <f>0.283</f>
        <v>0.28299999999999997</v>
      </c>
      <c r="F11" s="238"/>
    </row>
    <row r="12" spans="1:8" ht="25.5">
      <c r="A12" s="237" t="s">
        <v>310</v>
      </c>
      <c r="B12" s="6" t="s">
        <v>196</v>
      </c>
      <c r="C12" s="48" t="s">
        <v>285</v>
      </c>
      <c r="D12" s="191">
        <v>0.6</v>
      </c>
      <c r="E12" s="49">
        <f>0.283</f>
        <v>0.28299999999999997</v>
      </c>
      <c r="F12" s="238"/>
    </row>
    <row r="13" spans="1:8" ht="25.5">
      <c r="A13" s="237" t="s">
        <v>310</v>
      </c>
      <c r="B13" s="6" t="s">
        <v>197</v>
      </c>
      <c r="C13" s="48" t="s">
        <v>286</v>
      </c>
      <c r="D13" s="191" t="s">
        <v>287</v>
      </c>
      <c r="E13" s="49">
        <f>(0.25*0.45)</f>
        <v>0.1125</v>
      </c>
      <c r="F13" s="238">
        <v>2</v>
      </c>
    </row>
    <row r="14" spans="1:8">
      <c r="A14" s="213" t="s">
        <v>196</v>
      </c>
      <c r="B14" s="5"/>
      <c r="C14" s="5"/>
      <c r="D14" s="163" t="s">
        <v>198</v>
      </c>
      <c r="E14" s="44">
        <f>SUM(E6,E8,E10,E12,E11)</f>
        <v>1.4149999999999998</v>
      </c>
      <c r="F14" s="239"/>
    </row>
    <row r="15" spans="1:8" ht="13.5" thickBot="1">
      <c r="A15" s="240" t="s">
        <v>197</v>
      </c>
      <c r="B15" s="241"/>
      <c r="C15" s="241"/>
      <c r="D15" s="242" t="s">
        <v>199</v>
      </c>
      <c r="E15" s="243">
        <f>SUM(F7,F9,F13)</f>
        <v>6</v>
      </c>
      <c r="F15" s="244"/>
    </row>
  </sheetData>
  <mergeCells count="3">
    <mergeCell ref="A1:F1"/>
    <mergeCell ref="A2:F2"/>
    <mergeCell ref="A5:F5"/>
  </mergeCells>
  <pageMargins left="0.511811024" right="0.511811024" top="0.78740157499999996" bottom="0.78740157499999996" header="0.31496062000000002" footer="0.31496062000000002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T101"/>
  <sheetViews>
    <sheetView zoomScale="98" zoomScaleNormal="98" zoomScaleSheetLayoutView="110" workbookViewId="0">
      <selection activeCell="F20" sqref="F20"/>
    </sheetView>
  </sheetViews>
  <sheetFormatPr defaultRowHeight="12.75"/>
  <cols>
    <col min="1" max="1" width="7.140625" customWidth="1"/>
    <col min="2" max="2" width="11.28515625" style="8" customWidth="1"/>
    <col min="3" max="3" width="11.42578125" bestFit="1" customWidth="1"/>
    <col min="4" max="4" width="66.5703125" customWidth="1"/>
    <col min="5" max="5" width="9.5703125" customWidth="1"/>
    <col min="6" max="6" width="12.85546875" style="159" bestFit="1" customWidth="1"/>
    <col min="7" max="7" width="13.5703125" hidden="1" customWidth="1"/>
  </cols>
  <sheetData>
    <row r="1" spans="1:7" ht="20.100000000000001" customHeight="1">
      <c r="A1" s="648" t="s">
        <v>78</v>
      </c>
      <c r="B1" s="649"/>
      <c r="C1" s="649"/>
      <c r="D1" s="649"/>
      <c r="E1" s="649"/>
      <c r="F1" s="650"/>
    </row>
    <row r="2" spans="1:7" ht="20.100000000000001" customHeight="1">
      <c r="A2" s="644" t="s">
        <v>301</v>
      </c>
      <c r="B2" s="644"/>
      <c r="C2" s="644"/>
      <c r="D2" s="644"/>
      <c r="E2" s="644"/>
      <c r="F2" s="496" t="s">
        <v>35</v>
      </c>
    </row>
    <row r="3" spans="1:7" ht="20.100000000000001" customHeight="1">
      <c r="A3" s="644" t="s">
        <v>300</v>
      </c>
      <c r="B3" s="644"/>
      <c r="C3" s="644"/>
      <c r="D3" s="644"/>
      <c r="E3" s="644"/>
      <c r="F3" s="646">
        <f>'TERRAP E PAVIM'!S11</f>
        <v>2512.61</v>
      </c>
    </row>
    <row r="4" spans="1:7" ht="20.100000000000001" customHeight="1">
      <c r="A4" s="645" t="s">
        <v>291</v>
      </c>
      <c r="B4" s="645"/>
      <c r="C4" s="645"/>
      <c r="D4" s="645"/>
      <c r="E4" s="645"/>
      <c r="F4" s="647"/>
    </row>
    <row r="5" spans="1:7" s="76" customFormat="1" ht="20.100000000000001" customHeight="1">
      <c r="A5" s="501" t="s">
        <v>29</v>
      </c>
      <c r="B5" s="501" t="s">
        <v>112</v>
      </c>
      <c r="C5" s="497" t="s">
        <v>113</v>
      </c>
      <c r="D5" s="505" t="s">
        <v>0</v>
      </c>
      <c r="E5" s="497" t="s">
        <v>1</v>
      </c>
      <c r="F5" s="499" t="s">
        <v>2</v>
      </c>
    </row>
    <row r="6" spans="1:7" s="76" customFormat="1" ht="12" customHeight="1">
      <c r="A6" s="115"/>
      <c r="B6" s="115"/>
      <c r="C6" s="133"/>
      <c r="D6" s="475"/>
      <c r="E6" s="133"/>
      <c r="F6" s="504"/>
    </row>
    <row r="7" spans="1:7" s="76" customFormat="1" ht="18" customHeight="1">
      <c r="A7" s="502" t="s">
        <v>38</v>
      </c>
      <c r="B7" s="502" t="s">
        <v>209</v>
      </c>
      <c r="C7" s="498"/>
      <c r="D7" s="503" t="s">
        <v>210</v>
      </c>
      <c r="E7" s="498"/>
      <c r="F7" s="500"/>
    </row>
    <row r="8" spans="1:7" ht="15" customHeight="1">
      <c r="A8" s="525" t="s">
        <v>39</v>
      </c>
      <c r="B8" s="116" t="s">
        <v>332</v>
      </c>
      <c r="C8" s="116" t="s">
        <v>333</v>
      </c>
      <c r="D8" s="480" t="s">
        <v>105</v>
      </c>
      <c r="E8" s="116" t="s">
        <v>5</v>
      </c>
      <c r="F8" s="200">
        <v>12.5</v>
      </c>
      <c r="G8" t="s">
        <v>104</v>
      </c>
    </row>
    <row r="9" spans="1:7" s="9" customFormat="1" ht="15" customHeight="1">
      <c r="A9" s="180" t="s">
        <v>40</v>
      </c>
      <c r="B9" s="275">
        <v>93584</v>
      </c>
      <c r="C9" s="275" t="s">
        <v>114</v>
      </c>
      <c r="D9" s="480" t="s">
        <v>110</v>
      </c>
      <c r="E9" s="116" t="s">
        <v>5</v>
      </c>
      <c r="F9" s="201">
        <v>30</v>
      </c>
    </row>
    <row r="10" spans="1:7" ht="36">
      <c r="A10" s="116" t="s">
        <v>71</v>
      </c>
      <c r="B10" s="116" t="s">
        <v>334</v>
      </c>
      <c r="C10" s="116" t="s">
        <v>333</v>
      </c>
      <c r="D10" s="480" t="s">
        <v>41</v>
      </c>
      <c r="E10" s="116" t="s">
        <v>42</v>
      </c>
      <c r="F10" s="200">
        <v>6</v>
      </c>
      <c r="G10" t="s">
        <v>331</v>
      </c>
    </row>
    <row r="11" spans="1:7" s="9" customFormat="1" ht="24">
      <c r="A11" s="275" t="s">
        <v>94</v>
      </c>
      <c r="B11" s="275">
        <v>5213417</v>
      </c>
      <c r="C11" s="275" t="s">
        <v>115</v>
      </c>
      <c r="D11" s="481" t="s">
        <v>111</v>
      </c>
      <c r="E11" s="116" t="s">
        <v>5</v>
      </c>
      <c r="F11" s="201">
        <v>3.125</v>
      </c>
    </row>
    <row r="12" spans="1:7" s="9" customFormat="1">
      <c r="A12" s="180"/>
      <c r="B12" s="275"/>
      <c r="C12" s="275"/>
      <c r="D12" s="116"/>
      <c r="E12" s="92"/>
      <c r="F12" s="200"/>
    </row>
    <row r="13" spans="1:7" ht="18" customHeight="1">
      <c r="A13" s="512" t="s">
        <v>30</v>
      </c>
      <c r="B13" s="513" t="s">
        <v>24</v>
      </c>
      <c r="C13" s="514"/>
      <c r="D13" s="470" t="s">
        <v>109</v>
      </c>
      <c r="E13" s="228"/>
      <c r="F13" s="471"/>
    </row>
    <row r="14" spans="1:7" ht="15" customHeight="1">
      <c r="A14" s="525" t="s">
        <v>37</v>
      </c>
      <c r="B14" s="116" t="s">
        <v>335</v>
      </c>
      <c r="C14" s="116" t="s">
        <v>333</v>
      </c>
      <c r="D14" s="480" t="s">
        <v>336</v>
      </c>
      <c r="E14" s="116" t="s">
        <v>8</v>
      </c>
      <c r="F14" s="201">
        <v>1</v>
      </c>
    </row>
    <row r="15" spans="1:7">
      <c r="A15" s="275"/>
      <c r="B15" s="275"/>
      <c r="C15" s="275"/>
      <c r="D15" s="118"/>
      <c r="E15" s="119"/>
      <c r="F15" s="200"/>
    </row>
    <row r="16" spans="1:7" ht="18" customHeight="1">
      <c r="A16" s="515" t="s">
        <v>31</v>
      </c>
      <c r="B16" s="515" t="s">
        <v>25</v>
      </c>
      <c r="C16" s="514"/>
      <c r="D16" s="470" t="s">
        <v>100</v>
      </c>
      <c r="E16" s="473"/>
      <c r="F16" s="474"/>
    </row>
    <row r="17" spans="1:20" s="76" customFormat="1" ht="15" customHeight="1">
      <c r="A17" s="116" t="s">
        <v>36</v>
      </c>
      <c r="B17" s="116" t="s">
        <v>489</v>
      </c>
      <c r="C17" s="116" t="s">
        <v>333</v>
      </c>
      <c r="D17" s="480" t="s">
        <v>102</v>
      </c>
      <c r="E17" s="116" t="s">
        <v>5</v>
      </c>
      <c r="F17" s="200">
        <f>'TERRAP E PAVIM'!P11</f>
        <v>3533.36</v>
      </c>
      <c r="G17" s="116" t="s">
        <v>101</v>
      </c>
    </row>
    <row r="18" spans="1:20" ht="15" customHeight="1">
      <c r="A18" s="116" t="s">
        <v>32</v>
      </c>
      <c r="B18" s="116" t="s">
        <v>490</v>
      </c>
      <c r="C18" s="116" t="s">
        <v>333</v>
      </c>
      <c r="D18" s="480" t="s">
        <v>174</v>
      </c>
      <c r="E18" s="116" t="s">
        <v>4</v>
      </c>
      <c r="F18" s="200">
        <f>'TERRAP E PAVIM'!Q11</f>
        <v>530</v>
      </c>
      <c r="G18" s="116" t="s">
        <v>103</v>
      </c>
    </row>
    <row r="19" spans="1:20" ht="15" customHeight="1">
      <c r="A19" s="116" t="s">
        <v>43</v>
      </c>
      <c r="B19" s="116" t="s">
        <v>491</v>
      </c>
      <c r="C19" s="116" t="s">
        <v>333</v>
      </c>
      <c r="D19" s="480" t="s">
        <v>175</v>
      </c>
      <c r="E19" s="116" t="s">
        <v>4</v>
      </c>
      <c r="F19" s="200">
        <f>'TERRAP E PAVIM'!R11</f>
        <v>530</v>
      </c>
      <c r="G19" s="116" t="s">
        <v>103</v>
      </c>
    </row>
    <row r="20" spans="1:20" s="9" customFormat="1" ht="24">
      <c r="A20" s="116" t="s">
        <v>44</v>
      </c>
      <c r="B20" s="116" t="s">
        <v>492</v>
      </c>
      <c r="C20" s="116" t="s">
        <v>333</v>
      </c>
      <c r="D20" s="480" t="s">
        <v>237</v>
      </c>
      <c r="E20" s="116" t="s">
        <v>177</v>
      </c>
      <c r="F20" s="200">
        <f>('TERRAP E PAVIM'!V11+'TERRAP E PAVIM'!X11)/200</f>
        <v>4.1606652000000004</v>
      </c>
      <c r="G20" s="116" t="s">
        <v>176</v>
      </c>
    </row>
    <row r="21" spans="1:20" s="9" customFormat="1" ht="14.25">
      <c r="A21" s="114"/>
      <c r="B21" s="116"/>
      <c r="C21" s="116"/>
      <c r="D21" s="92"/>
      <c r="E21" s="92"/>
      <c r="F21" s="202"/>
    </row>
    <row r="22" spans="1:20" s="9" customFormat="1" ht="18" customHeight="1">
      <c r="A22" s="51" t="s">
        <v>33</v>
      </c>
      <c r="B22" s="472" t="s">
        <v>290</v>
      </c>
      <c r="C22" s="228"/>
      <c r="D22" s="475" t="s">
        <v>3</v>
      </c>
      <c r="E22" s="75"/>
      <c r="F22" s="471"/>
    </row>
    <row r="23" spans="1:20" s="9" customFormat="1" ht="15" customHeight="1">
      <c r="A23" s="443" t="s">
        <v>34</v>
      </c>
      <c r="B23" s="116" t="s">
        <v>337</v>
      </c>
      <c r="C23" s="116" t="s">
        <v>333</v>
      </c>
      <c r="D23" s="480" t="s">
        <v>303</v>
      </c>
      <c r="E23" s="116" t="s">
        <v>5</v>
      </c>
      <c r="F23" s="200">
        <f>'TERRAP E PAVIM'!M11</f>
        <v>3140.768</v>
      </c>
      <c r="G23" s="116" t="s">
        <v>338</v>
      </c>
    </row>
    <row r="24" spans="1:20" s="9" customFormat="1" ht="24">
      <c r="A24" s="266" t="s">
        <v>157</v>
      </c>
      <c r="B24" s="516">
        <v>5501700</v>
      </c>
      <c r="C24" s="275" t="s">
        <v>350</v>
      </c>
      <c r="D24" s="480" t="s">
        <v>351</v>
      </c>
      <c r="E24" s="297" t="s">
        <v>5</v>
      </c>
      <c r="F24" s="200">
        <f>F28/1.3</f>
        <v>2616.5552307692301</v>
      </c>
      <c r="G24" s="116"/>
    </row>
    <row r="25" spans="1:20" s="9" customFormat="1" ht="15" customHeight="1">
      <c r="A25" s="443" t="s">
        <v>274</v>
      </c>
      <c r="B25" s="517">
        <v>5502986</v>
      </c>
      <c r="C25" s="275" t="s">
        <v>350</v>
      </c>
      <c r="D25" s="480" t="s">
        <v>353</v>
      </c>
      <c r="E25" s="116" t="s">
        <v>4</v>
      </c>
      <c r="F25" s="200">
        <f>F24*0.15</f>
        <v>392.48328461538449</v>
      </c>
      <c r="G25" s="116"/>
    </row>
    <row r="26" spans="1:20" s="9" customFormat="1" ht="24">
      <c r="A26" s="266" t="s">
        <v>154</v>
      </c>
      <c r="B26" s="116">
        <v>5502109</v>
      </c>
      <c r="C26" s="275" t="s">
        <v>350</v>
      </c>
      <c r="D26" s="480" t="s">
        <v>316</v>
      </c>
      <c r="E26" s="116" t="s">
        <v>4</v>
      </c>
      <c r="F26" s="200">
        <f>'TERRAP E PAVIM'!N11</f>
        <v>1248.135</v>
      </c>
      <c r="G26" s="116">
        <v>5502136</v>
      </c>
    </row>
    <row r="27" spans="1:20" s="9" customFormat="1">
      <c r="A27" s="443" t="s">
        <v>158</v>
      </c>
      <c r="B27" s="552">
        <v>5503041</v>
      </c>
      <c r="C27" s="552" t="s">
        <v>115</v>
      </c>
      <c r="D27" s="556" t="s">
        <v>513</v>
      </c>
      <c r="E27" s="552" t="s">
        <v>4</v>
      </c>
      <c r="F27" s="200">
        <f>'TERRAP E PAVIM'!N11/1.2</f>
        <v>1040.1125</v>
      </c>
      <c r="G27" s="116"/>
    </row>
    <row r="28" spans="1:20" s="9" customFormat="1">
      <c r="A28" s="266" t="s">
        <v>294</v>
      </c>
      <c r="B28" s="116">
        <v>4016096</v>
      </c>
      <c r="C28" s="553" t="s">
        <v>115</v>
      </c>
      <c r="D28" s="558" t="s">
        <v>515</v>
      </c>
      <c r="E28" s="555" t="s">
        <v>4</v>
      </c>
      <c r="F28" s="200">
        <f>('TERRAP E PAVIM'!O11-'TERRAP E PAVIM'!N11/1.2)*1.2</f>
        <v>3401.5217999999995</v>
      </c>
      <c r="G28" s="116" t="s">
        <v>339</v>
      </c>
    </row>
    <row r="29" spans="1:20" s="9" customFormat="1" ht="21.75" customHeight="1">
      <c r="A29" s="266" t="s">
        <v>296</v>
      </c>
      <c r="B29" s="116" t="s">
        <v>464</v>
      </c>
      <c r="C29" s="554" t="s">
        <v>333</v>
      </c>
      <c r="D29" s="559" t="s">
        <v>516</v>
      </c>
      <c r="E29" s="555" t="s">
        <v>4</v>
      </c>
      <c r="F29" s="200">
        <f>F28</f>
        <v>3401.5217999999995</v>
      </c>
      <c r="G29" s="444"/>
    </row>
    <row r="30" spans="1:20" s="9" customFormat="1" ht="15" customHeight="1">
      <c r="A30" s="266" t="s">
        <v>354</v>
      </c>
      <c r="B30" s="116">
        <v>5914389</v>
      </c>
      <c r="C30" s="116" t="s">
        <v>350</v>
      </c>
      <c r="D30" s="557" t="s">
        <v>368</v>
      </c>
      <c r="E30" s="92" t="s">
        <v>45</v>
      </c>
      <c r="F30" s="200">
        <f>TRUNC(TRANSP!J9,3)</f>
        <v>112250.219</v>
      </c>
    </row>
    <row r="31" spans="1:20" s="9" customFormat="1" ht="24">
      <c r="A31" s="266" t="s">
        <v>514</v>
      </c>
      <c r="B31" s="116">
        <v>96386</v>
      </c>
      <c r="C31" s="116" t="s">
        <v>114</v>
      </c>
      <c r="D31" s="480" t="s">
        <v>302</v>
      </c>
      <c r="E31" s="116" t="s">
        <v>4</v>
      </c>
      <c r="F31" s="200">
        <f>'TERRAP E PAVIM'!O11</f>
        <v>3874.7139999999999</v>
      </c>
    </row>
    <row r="32" spans="1:20" ht="15.75">
      <c r="A32" s="203" t="s">
        <v>264</v>
      </c>
      <c r="B32" s="116"/>
      <c r="C32" s="116"/>
      <c r="D32" s="120"/>
      <c r="E32" s="92"/>
      <c r="F32" s="200"/>
      <c r="J32" s="562"/>
      <c r="K32" s="562"/>
      <c r="L32" s="562"/>
      <c r="M32" s="562"/>
      <c r="N32" s="562"/>
      <c r="O32" s="562"/>
      <c r="P32" s="562"/>
      <c r="Q32" s="562"/>
      <c r="R32" s="562"/>
      <c r="S32" s="562"/>
      <c r="T32" s="562"/>
    </row>
    <row r="33" spans="1:7" ht="18" customHeight="1">
      <c r="A33" s="51" t="s">
        <v>265</v>
      </c>
      <c r="B33" s="472" t="s">
        <v>281</v>
      </c>
      <c r="C33" s="228"/>
      <c r="D33" s="475" t="s">
        <v>378</v>
      </c>
      <c r="E33" s="75"/>
      <c r="F33" s="474"/>
    </row>
    <row r="34" spans="1:7" ht="24">
      <c r="A34" s="92" t="s">
        <v>266</v>
      </c>
      <c r="B34" s="296" t="s">
        <v>349</v>
      </c>
      <c r="C34" s="116" t="s">
        <v>350</v>
      </c>
      <c r="D34" s="480" t="s">
        <v>351</v>
      </c>
      <c r="E34" s="297" t="s">
        <v>5</v>
      </c>
      <c r="F34" s="200">
        <f>(F37+F38)*1.2/1.3</f>
        <v>978.46153846153845</v>
      </c>
    </row>
    <row r="35" spans="1:7" ht="15" customHeight="1">
      <c r="A35" s="92" t="s">
        <v>267</v>
      </c>
      <c r="B35" s="298" t="s">
        <v>352</v>
      </c>
      <c r="C35" s="116" t="s">
        <v>350</v>
      </c>
      <c r="D35" s="480" t="s">
        <v>353</v>
      </c>
      <c r="E35" s="482" t="s">
        <v>4</v>
      </c>
      <c r="F35" s="200">
        <f>F34*0.15</f>
        <v>146.76923076923077</v>
      </c>
    </row>
    <row r="36" spans="1:7" ht="15" customHeight="1">
      <c r="A36" s="443" t="s">
        <v>317</v>
      </c>
      <c r="B36" s="526" t="s">
        <v>495</v>
      </c>
      <c r="C36" s="116" t="s">
        <v>333</v>
      </c>
      <c r="D36" s="480" t="s">
        <v>80</v>
      </c>
      <c r="E36" s="92" t="s">
        <v>5</v>
      </c>
      <c r="F36" s="200">
        <f>'TERRAP E PAVIM'!P11</f>
        <v>3533.36</v>
      </c>
      <c r="G36" s="116"/>
    </row>
    <row r="37" spans="1:7" ht="24">
      <c r="A37" s="92" t="s">
        <v>268</v>
      </c>
      <c r="B37" s="298" t="s">
        <v>355</v>
      </c>
      <c r="C37" s="116" t="s">
        <v>350</v>
      </c>
      <c r="D37" s="480" t="s">
        <v>356</v>
      </c>
      <c r="E37" s="482" t="s">
        <v>4</v>
      </c>
      <c r="F37" s="200">
        <f>'TERRAP E PAVIM'!Q11</f>
        <v>530</v>
      </c>
      <c r="G37" s="116"/>
    </row>
    <row r="38" spans="1:7" ht="24">
      <c r="A38" s="92" t="s">
        <v>269</v>
      </c>
      <c r="B38" s="298" t="s">
        <v>357</v>
      </c>
      <c r="C38" s="116" t="s">
        <v>350</v>
      </c>
      <c r="D38" s="480" t="s">
        <v>358</v>
      </c>
      <c r="E38" s="482" t="s">
        <v>4</v>
      </c>
      <c r="F38" s="200">
        <f>'TERRAP E PAVIM'!R11</f>
        <v>530</v>
      </c>
      <c r="G38" s="116"/>
    </row>
    <row r="39" spans="1:7" s="561" customFormat="1" ht="24">
      <c r="A39" s="443" t="s">
        <v>270</v>
      </c>
      <c r="B39" s="116" t="s">
        <v>518</v>
      </c>
      <c r="C39" s="554" t="s">
        <v>333</v>
      </c>
      <c r="D39" s="560" t="s">
        <v>516</v>
      </c>
      <c r="E39" s="555" t="s">
        <v>4</v>
      </c>
      <c r="F39" s="200">
        <f>'TERRAP E PAVIM'!Q18</f>
        <v>1272</v>
      </c>
      <c r="G39" s="444"/>
    </row>
    <row r="40" spans="1:7" ht="15" customHeight="1">
      <c r="A40" s="92" t="s">
        <v>271</v>
      </c>
      <c r="B40" s="116">
        <v>4011351</v>
      </c>
      <c r="C40" s="116" t="s">
        <v>350</v>
      </c>
      <c r="D40" s="480" t="s">
        <v>346</v>
      </c>
      <c r="E40" s="116" t="s">
        <v>5</v>
      </c>
      <c r="F40" s="200">
        <f>'TERRAP E PAVIM'!S11</f>
        <v>2512.61</v>
      </c>
      <c r="G40" s="444"/>
    </row>
    <row r="41" spans="1:7" ht="15" customHeight="1">
      <c r="A41" s="92" t="s">
        <v>272</v>
      </c>
      <c r="B41" s="116">
        <v>4011353</v>
      </c>
      <c r="C41" s="116" t="s">
        <v>350</v>
      </c>
      <c r="D41" s="480" t="s">
        <v>359</v>
      </c>
      <c r="E41" s="116" t="s">
        <v>5</v>
      </c>
      <c r="F41" s="200">
        <f>'TERRAP E PAVIM'!T11</f>
        <v>2512.61</v>
      </c>
      <c r="G41" s="444"/>
    </row>
    <row r="42" spans="1:7" s="7" customFormat="1" ht="15" customHeight="1">
      <c r="A42" s="92" t="s">
        <v>517</v>
      </c>
      <c r="B42" s="116">
        <v>4011463</v>
      </c>
      <c r="C42" s="116" t="s">
        <v>350</v>
      </c>
      <c r="D42" s="480" t="s">
        <v>340</v>
      </c>
      <c r="E42" s="92" t="s">
        <v>345</v>
      </c>
      <c r="F42" s="200">
        <f>'TERRAP E PAVIM'!U11</f>
        <v>241.21056000000002</v>
      </c>
    </row>
    <row r="43" spans="1:7" s="7" customFormat="1">
      <c r="A43" s="92"/>
      <c r="B43" s="116"/>
      <c r="C43" s="116"/>
      <c r="D43" s="227"/>
      <c r="E43" s="92"/>
      <c r="F43" s="200"/>
    </row>
    <row r="44" spans="1:7" ht="18" customHeight="1">
      <c r="A44" s="51" t="s">
        <v>81</v>
      </c>
      <c r="B44" s="472" t="s">
        <v>27</v>
      </c>
      <c r="C44" s="228"/>
      <c r="D44" s="475" t="s">
        <v>379</v>
      </c>
      <c r="E44" s="75"/>
      <c r="F44" s="474"/>
    </row>
    <row r="45" spans="1:7" s="7" customFormat="1" ht="15" customHeight="1">
      <c r="A45" s="92" t="s">
        <v>82</v>
      </c>
      <c r="B45" s="116" t="s">
        <v>493</v>
      </c>
      <c r="C45" s="116" t="s">
        <v>342</v>
      </c>
      <c r="D45" s="480" t="s">
        <v>341</v>
      </c>
      <c r="E45" s="443" t="s">
        <v>345</v>
      </c>
      <c r="F45" s="200">
        <f>TRUNC('TERRAP E PAVIM'!S11*0.0012,3)</f>
        <v>3.0150000000000001</v>
      </c>
    </row>
    <row r="46" spans="1:7" s="7" customFormat="1" ht="15" customHeight="1">
      <c r="A46" s="92" t="s">
        <v>83</v>
      </c>
      <c r="B46" s="116" t="s">
        <v>494</v>
      </c>
      <c r="C46" s="116" t="s">
        <v>342</v>
      </c>
      <c r="D46" s="480" t="s">
        <v>348</v>
      </c>
      <c r="E46" s="92" t="s">
        <v>345</v>
      </c>
      <c r="F46" s="200">
        <f>TRUNC('TERRAP E PAVIM'!S11*0.00045,3)</f>
        <v>1.1299999999999999</v>
      </c>
    </row>
    <row r="47" spans="1:7" s="7" customFormat="1" ht="15" customHeight="1">
      <c r="A47" s="92" t="s">
        <v>292</v>
      </c>
      <c r="B47" s="116" t="s">
        <v>343</v>
      </c>
      <c r="C47" s="116" t="s">
        <v>342</v>
      </c>
      <c r="D47" s="480" t="s">
        <v>362</v>
      </c>
      <c r="E47" s="92" t="s">
        <v>345</v>
      </c>
      <c r="F47" s="200">
        <f>TRUNC('TERRAP E PAVIM'!U11*0.06323,3)</f>
        <v>15.250999999999999</v>
      </c>
    </row>
    <row r="48" spans="1:7" s="7" customFormat="1">
      <c r="A48" s="92"/>
      <c r="B48" s="116"/>
      <c r="C48" s="116"/>
      <c r="D48" s="227"/>
      <c r="E48" s="92"/>
      <c r="F48" s="200"/>
    </row>
    <row r="49" spans="1:7" ht="18" customHeight="1">
      <c r="A49" s="51" t="s">
        <v>106</v>
      </c>
      <c r="B49" s="472" t="s">
        <v>84</v>
      </c>
      <c r="C49" s="228"/>
      <c r="D49" s="475" t="s">
        <v>462</v>
      </c>
      <c r="E49" s="75"/>
      <c r="F49" s="474"/>
    </row>
    <row r="50" spans="1:7" s="7" customFormat="1" ht="15" customHeight="1">
      <c r="A50" s="116" t="s">
        <v>107</v>
      </c>
      <c r="B50" s="116" t="s">
        <v>344</v>
      </c>
      <c r="C50" s="116" t="s">
        <v>366</v>
      </c>
      <c r="D50" s="480" t="s">
        <v>365</v>
      </c>
      <c r="E50" s="297" t="s">
        <v>345</v>
      </c>
      <c r="F50" s="200">
        <f>F47</f>
        <v>15.250999999999999</v>
      </c>
    </row>
    <row r="51" spans="1:7" s="7" customFormat="1" ht="15" customHeight="1">
      <c r="A51" s="116" t="s">
        <v>171</v>
      </c>
      <c r="B51" s="116" t="s">
        <v>361</v>
      </c>
      <c r="C51" s="116" t="s">
        <v>366</v>
      </c>
      <c r="D51" s="480" t="s">
        <v>363</v>
      </c>
      <c r="E51" s="297" t="s">
        <v>345</v>
      </c>
      <c r="F51" s="200">
        <f>F45</f>
        <v>3.0150000000000001</v>
      </c>
    </row>
    <row r="52" spans="1:7" s="7" customFormat="1" ht="15" customHeight="1">
      <c r="A52" s="116" t="s">
        <v>211</v>
      </c>
      <c r="B52" s="116" t="s">
        <v>367</v>
      </c>
      <c r="C52" s="116" t="s">
        <v>366</v>
      </c>
      <c r="D52" s="480" t="s">
        <v>364</v>
      </c>
      <c r="E52" s="297" t="s">
        <v>345</v>
      </c>
      <c r="F52" s="200">
        <f>F46</f>
        <v>1.1299999999999999</v>
      </c>
    </row>
    <row r="53" spans="1:7" s="7" customFormat="1" ht="15" customHeight="1">
      <c r="A53" s="116" t="s">
        <v>314</v>
      </c>
      <c r="B53" s="116">
        <v>5914389</v>
      </c>
      <c r="C53" s="116" t="s">
        <v>350</v>
      </c>
      <c r="D53" s="480" t="s">
        <v>368</v>
      </c>
      <c r="E53" s="92" t="s">
        <v>45</v>
      </c>
      <c r="F53" s="200">
        <f>TRANSP!J23</f>
        <v>41359.460157028159</v>
      </c>
      <c r="G53" s="116"/>
    </row>
    <row r="54" spans="1:7" s="131" customFormat="1">
      <c r="A54" s="92"/>
      <c r="B54" s="116"/>
      <c r="C54" s="116"/>
      <c r="D54" s="92"/>
      <c r="E54" s="92"/>
      <c r="F54" s="200"/>
    </row>
    <row r="55" spans="1:7" s="7" customFormat="1" ht="18" customHeight="1">
      <c r="A55" s="51" t="s">
        <v>108</v>
      </c>
      <c r="B55" s="472" t="s">
        <v>161</v>
      </c>
      <c r="C55" s="228"/>
      <c r="D55" s="138" t="s">
        <v>178</v>
      </c>
      <c r="E55" s="228"/>
      <c r="F55" s="474"/>
    </row>
    <row r="56" spans="1:7" ht="26.25" customHeight="1">
      <c r="A56" s="443" t="s">
        <v>236</v>
      </c>
      <c r="B56" s="116" t="s">
        <v>503</v>
      </c>
      <c r="C56" s="116" t="s">
        <v>333</v>
      </c>
      <c r="D56" s="480" t="s">
        <v>179</v>
      </c>
      <c r="E56" s="116" t="s">
        <v>5</v>
      </c>
      <c r="F56" s="200">
        <f>'SN HOR'!C19</f>
        <v>130.4</v>
      </c>
    </row>
    <row r="57" spans="1:7" s="7" customFormat="1" ht="15" customHeight="1">
      <c r="A57" s="92" t="s">
        <v>233</v>
      </c>
      <c r="B57" s="116">
        <v>5213405</v>
      </c>
      <c r="C57" s="116" t="s">
        <v>115</v>
      </c>
      <c r="D57" s="480" t="s">
        <v>180</v>
      </c>
      <c r="E57" s="116" t="s">
        <v>5</v>
      </c>
      <c r="F57" s="200">
        <f>'SN HOR'!C21</f>
        <v>15.27</v>
      </c>
    </row>
    <row r="58" spans="1:7" s="7" customFormat="1" ht="23.25" customHeight="1">
      <c r="A58" s="92" t="s">
        <v>238</v>
      </c>
      <c r="B58" s="116">
        <v>5213417</v>
      </c>
      <c r="C58" s="116" t="s">
        <v>115</v>
      </c>
      <c r="D58" s="480" t="s">
        <v>111</v>
      </c>
      <c r="E58" s="116" t="s">
        <v>5</v>
      </c>
      <c r="F58" s="200">
        <f>'SN VERT'!E14</f>
        <v>1.4149999999999998</v>
      </c>
      <c r="G58" s="116">
        <v>5213417</v>
      </c>
    </row>
    <row r="59" spans="1:7" ht="24">
      <c r="A59" s="92" t="s">
        <v>234</v>
      </c>
      <c r="B59" s="116">
        <v>5213855</v>
      </c>
      <c r="C59" s="116" t="s">
        <v>115</v>
      </c>
      <c r="D59" s="480" t="s">
        <v>181</v>
      </c>
      <c r="E59" s="92" t="s">
        <v>8</v>
      </c>
      <c r="F59" s="200">
        <f>'SN VERT'!E15</f>
        <v>6</v>
      </c>
      <c r="G59" s="116">
        <v>5213855</v>
      </c>
    </row>
    <row r="60" spans="1:7">
      <c r="A60" s="92"/>
      <c r="B60" s="116"/>
      <c r="C60" s="116"/>
      <c r="D60" s="92"/>
      <c r="E60" s="92"/>
      <c r="F60" s="200"/>
    </row>
    <row r="61" spans="1:7" ht="18" customHeight="1">
      <c r="A61" s="51" t="s">
        <v>163</v>
      </c>
      <c r="B61" s="472" t="s">
        <v>164</v>
      </c>
      <c r="C61" s="228"/>
      <c r="D61" s="138" t="s">
        <v>182</v>
      </c>
      <c r="E61" s="228"/>
      <c r="F61" s="474"/>
    </row>
    <row r="62" spans="1:7" ht="24">
      <c r="A62" s="116" t="s">
        <v>165</v>
      </c>
      <c r="B62" s="116">
        <v>94267</v>
      </c>
      <c r="C62" s="116" t="s">
        <v>114</v>
      </c>
      <c r="D62" s="480" t="s">
        <v>277</v>
      </c>
      <c r="E62" s="116" t="s">
        <v>7</v>
      </c>
      <c r="F62" s="200">
        <f>'TERRAP E PAVIM'!V11</f>
        <v>737.91000000000008</v>
      </c>
    </row>
    <row r="63" spans="1:7" ht="24">
      <c r="A63" s="116" t="s">
        <v>323</v>
      </c>
      <c r="B63" s="116">
        <v>94268</v>
      </c>
      <c r="C63" s="116" t="s">
        <v>114</v>
      </c>
      <c r="D63" s="480" t="s">
        <v>278</v>
      </c>
      <c r="E63" s="116" t="s">
        <v>7</v>
      </c>
      <c r="F63" s="200">
        <f>'TERRAP E PAVIM'!W11</f>
        <v>42.09</v>
      </c>
    </row>
    <row r="64" spans="1:7" ht="15" customHeight="1">
      <c r="A64" s="116" t="s">
        <v>467</v>
      </c>
      <c r="B64" s="116" t="s">
        <v>506</v>
      </c>
      <c r="C64" s="116" t="s">
        <v>333</v>
      </c>
      <c r="D64" s="480" t="s">
        <v>280</v>
      </c>
      <c r="E64" s="92" t="s">
        <v>8</v>
      </c>
      <c r="F64" s="200">
        <f>'SN VERT'!E15</f>
        <v>6</v>
      </c>
      <c r="G64" s="116" t="s">
        <v>279</v>
      </c>
    </row>
    <row r="65" spans="1:7" ht="25.5">
      <c r="A65" s="275" t="s">
        <v>468</v>
      </c>
      <c r="B65" s="116">
        <v>94991</v>
      </c>
      <c r="C65" s="116" t="s">
        <v>114</v>
      </c>
      <c r="D65" s="522" t="s">
        <v>510</v>
      </c>
      <c r="E65" s="116" t="s">
        <v>511</v>
      </c>
      <c r="F65" s="200">
        <f>'TERRAP E PAVIM'!X11</f>
        <v>94.223039999999997</v>
      </c>
      <c r="G65" s="116">
        <v>94991</v>
      </c>
    </row>
    <row r="66" spans="1:7">
      <c r="A66" s="275" t="s">
        <v>520</v>
      </c>
      <c r="B66" s="116">
        <v>101094</v>
      </c>
      <c r="C66" s="116" t="s">
        <v>114</v>
      </c>
      <c r="D66" s="480" t="s">
        <v>519</v>
      </c>
      <c r="E66" s="116" t="s">
        <v>7</v>
      </c>
      <c r="F66" s="200">
        <f>SUM(F62:F63)</f>
        <v>780.00000000000011</v>
      </c>
      <c r="G66" s="444"/>
    </row>
    <row r="67" spans="1:7">
      <c r="A67" s="275"/>
      <c r="B67" s="275"/>
      <c r="C67" s="275"/>
      <c r="D67" s="117"/>
      <c r="E67" s="116"/>
      <c r="F67" s="200"/>
    </row>
    <row r="68" spans="1:7" ht="18" customHeight="1">
      <c r="A68" s="515" t="s">
        <v>203</v>
      </c>
      <c r="B68" s="515" t="s">
        <v>204</v>
      </c>
      <c r="C68" s="514"/>
      <c r="D68" s="138" t="s">
        <v>6</v>
      </c>
      <c r="E68" s="138"/>
      <c r="F68" s="474"/>
    </row>
    <row r="69" spans="1:7" ht="24">
      <c r="A69" s="275" t="s">
        <v>205</v>
      </c>
      <c r="B69" s="275">
        <v>5213417</v>
      </c>
      <c r="C69" s="275" t="s">
        <v>116</v>
      </c>
      <c r="D69" s="480" t="s">
        <v>111</v>
      </c>
      <c r="E69" s="116" t="s">
        <v>5</v>
      </c>
      <c r="F69" s="200">
        <v>20</v>
      </c>
    </row>
    <row r="70" spans="1:7" ht="28.5" customHeight="1">
      <c r="A70" s="116" t="s">
        <v>322</v>
      </c>
      <c r="B70" s="116" t="s">
        <v>496</v>
      </c>
      <c r="C70" s="116" t="s">
        <v>333</v>
      </c>
      <c r="D70" s="480" t="s">
        <v>79</v>
      </c>
      <c r="E70" s="116" t="s">
        <v>5</v>
      </c>
      <c r="F70" s="200">
        <v>10</v>
      </c>
      <c r="G70">
        <v>85424</v>
      </c>
    </row>
    <row r="71" spans="1:7" ht="15" customHeight="1">
      <c r="A71" s="116" t="s">
        <v>469</v>
      </c>
      <c r="B71" s="116" t="s">
        <v>497</v>
      </c>
      <c r="C71" s="116" t="s">
        <v>333</v>
      </c>
      <c r="D71" s="480" t="s">
        <v>118</v>
      </c>
      <c r="E71" s="116" t="s">
        <v>5</v>
      </c>
      <c r="F71" s="200">
        <v>10</v>
      </c>
      <c r="G71" s="116" t="s">
        <v>117</v>
      </c>
    </row>
    <row r="72" spans="1:7" ht="36" customHeight="1">
      <c r="A72" s="275" t="s">
        <v>470</v>
      </c>
      <c r="B72" s="275">
        <v>90091</v>
      </c>
      <c r="C72" s="275" t="s">
        <v>114</v>
      </c>
      <c r="D72" s="480" t="s">
        <v>119</v>
      </c>
      <c r="E72" s="116" t="s">
        <v>4</v>
      </c>
      <c r="F72" s="200">
        <f>('MEMORIAL DE CALCULO'!D42)*0.75</f>
        <v>834.27044999999976</v>
      </c>
    </row>
    <row r="73" spans="1:7" ht="24">
      <c r="A73" s="116" t="s">
        <v>471</v>
      </c>
      <c r="B73" s="116" t="s">
        <v>498</v>
      </c>
      <c r="C73" s="116" t="s">
        <v>333</v>
      </c>
      <c r="D73" s="480" t="s">
        <v>207</v>
      </c>
      <c r="E73" s="116" t="s">
        <v>4</v>
      </c>
      <c r="F73" s="200">
        <f>'MEMORIAL DE CALCULO'!D42*0.25</f>
        <v>278.09014999999994</v>
      </c>
      <c r="G73" s="116">
        <v>72917</v>
      </c>
    </row>
    <row r="74" spans="1:7" ht="24">
      <c r="A74" s="116" t="s">
        <v>472</v>
      </c>
      <c r="B74" s="116" t="s">
        <v>499</v>
      </c>
      <c r="C74" s="116" t="s">
        <v>333</v>
      </c>
      <c r="D74" s="480" t="s">
        <v>463</v>
      </c>
      <c r="E74" s="116" t="s">
        <v>4</v>
      </c>
      <c r="F74" s="200">
        <f>'MEMORIAL DE CALCULO'!D46</f>
        <v>98.935500000000005</v>
      </c>
      <c r="G74" s="116">
        <v>94103</v>
      </c>
    </row>
    <row r="75" spans="1:7" ht="48">
      <c r="A75" s="275" t="s">
        <v>473</v>
      </c>
      <c r="B75" s="275">
        <v>93381</v>
      </c>
      <c r="C75" s="275" t="s">
        <v>114</v>
      </c>
      <c r="D75" s="480" t="s">
        <v>162</v>
      </c>
      <c r="E75" s="116" t="s">
        <v>4</v>
      </c>
      <c r="F75" s="200">
        <f>'MEMORIAL DE CALCULO'!D44</f>
        <v>895.36977760000002</v>
      </c>
    </row>
    <row r="76" spans="1:7" ht="24">
      <c r="A76" s="116" t="s">
        <v>474</v>
      </c>
      <c r="B76" s="116" t="s">
        <v>500</v>
      </c>
      <c r="C76" s="116" t="s">
        <v>333</v>
      </c>
      <c r="D76" s="480" t="s">
        <v>121</v>
      </c>
      <c r="E76" s="116" t="s">
        <v>4</v>
      </c>
      <c r="F76" s="200">
        <f>'MEMORIAL DE CALCULO'!D43</f>
        <v>216.99082239999973</v>
      </c>
      <c r="G76" s="116" t="s">
        <v>120</v>
      </c>
    </row>
    <row r="77" spans="1:7" ht="15" customHeight="1">
      <c r="A77" s="275" t="s">
        <v>475</v>
      </c>
      <c r="B77" s="275">
        <v>5914389</v>
      </c>
      <c r="C77" s="275" t="s">
        <v>350</v>
      </c>
      <c r="D77" s="480" t="s">
        <v>368</v>
      </c>
      <c r="E77" s="443" t="s">
        <v>45</v>
      </c>
      <c r="F77" s="200">
        <f>TRANSP!J30</f>
        <v>7160.6971391999914</v>
      </c>
    </row>
    <row r="78" spans="1:7" ht="24">
      <c r="A78" s="116" t="s">
        <v>476</v>
      </c>
      <c r="B78" s="116" t="s">
        <v>501</v>
      </c>
      <c r="C78" s="116" t="s">
        <v>333</v>
      </c>
      <c r="D78" s="480" t="s">
        <v>122</v>
      </c>
      <c r="E78" s="116" t="s">
        <v>4</v>
      </c>
      <c r="F78" s="200">
        <f>F76</f>
        <v>216.99082239999973</v>
      </c>
      <c r="G78" s="116">
        <v>83344</v>
      </c>
    </row>
    <row r="79" spans="1:7" ht="36">
      <c r="A79" s="116" t="s">
        <v>477</v>
      </c>
      <c r="B79" s="116" t="s">
        <v>502</v>
      </c>
      <c r="C79" s="116" t="s">
        <v>333</v>
      </c>
      <c r="D79" s="480" t="s">
        <v>208</v>
      </c>
      <c r="E79" s="116" t="s">
        <v>5</v>
      </c>
      <c r="F79" s="200">
        <v>15</v>
      </c>
      <c r="G79" s="116">
        <v>94038</v>
      </c>
    </row>
    <row r="80" spans="1:7">
      <c r="A80" s="116"/>
      <c r="B80" s="116"/>
      <c r="C80" s="116"/>
      <c r="D80" s="122"/>
      <c r="E80" s="116"/>
      <c r="F80" s="200"/>
    </row>
    <row r="81" spans="1:7" ht="18" customHeight="1">
      <c r="A81" s="472" t="s">
        <v>222</v>
      </c>
      <c r="B81" s="472" t="s">
        <v>212</v>
      </c>
      <c r="C81" s="228"/>
      <c r="D81" s="476" t="s">
        <v>240</v>
      </c>
      <c r="E81" s="228"/>
      <c r="F81" s="474"/>
    </row>
    <row r="82" spans="1:7" ht="24">
      <c r="A82" s="275" t="s">
        <v>318</v>
      </c>
      <c r="B82" s="275">
        <v>7725</v>
      </c>
      <c r="C82" s="116" t="s">
        <v>114</v>
      </c>
      <c r="D82" s="480" t="s">
        <v>202</v>
      </c>
      <c r="E82" s="116" t="s">
        <v>7</v>
      </c>
      <c r="F82" s="200">
        <f>'MEMORIAL DE CALCULO'!C31</f>
        <v>60</v>
      </c>
      <c r="G82" s="511">
        <v>7725</v>
      </c>
    </row>
    <row r="83" spans="1:7" ht="24">
      <c r="A83" s="275" t="s">
        <v>293</v>
      </c>
      <c r="B83" s="275">
        <v>7750</v>
      </c>
      <c r="C83" s="116" t="s">
        <v>114</v>
      </c>
      <c r="D83" s="480" t="s">
        <v>325</v>
      </c>
      <c r="E83" s="116" t="s">
        <v>7</v>
      </c>
      <c r="F83" s="200">
        <f>'MEMORIAL DE CALCULO'!C32+'MEMORIAL DE CALCULO'!C33</f>
        <v>255</v>
      </c>
      <c r="G83" s="86">
        <v>7750</v>
      </c>
    </row>
    <row r="84" spans="1:7">
      <c r="A84" s="116"/>
      <c r="B84" s="116"/>
      <c r="C84" s="116"/>
      <c r="D84" s="121"/>
      <c r="E84" s="116"/>
      <c r="F84" s="200"/>
    </row>
    <row r="85" spans="1:7" ht="18" customHeight="1">
      <c r="A85" s="461" t="s">
        <v>369</v>
      </c>
      <c r="B85" s="472" t="s">
        <v>370</v>
      </c>
      <c r="C85" s="228"/>
      <c r="D85" s="476" t="s">
        <v>239</v>
      </c>
      <c r="E85" s="228"/>
      <c r="F85" s="474"/>
    </row>
    <row r="86" spans="1:7" ht="36">
      <c r="A86" s="116" t="s">
        <v>376</v>
      </c>
      <c r="B86" s="116">
        <v>92824</v>
      </c>
      <c r="C86" s="116" t="s">
        <v>114</v>
      </c>
      <c r="D86" s="480" t="s">
        <v>320</v>
      </c>
      <c r="E86" s="116" t="s">
        <v>7</v>
      </c>
      <c r="F86" s="200">
        <f>F82</f>
        <v>60</v>
      </c>
    </row>
    <row r="87" spans="1:7" ht="24">
      <c r="A87" s="116" t="s">
        <v>372</v>
      </c>
      <c r="B87" s="116">
        <v>92826</v>
      </c>
      <c r="C87" s="116" t="s">
        <v>114</v>
      </c>
      <c r="D87" s="480" t="s">
        <v>321</v>
      </c>
      <c r="E87" s="116" t="s">
        <v>7</v>
      </c>
      <c r="F87" s="200">
        <f>F83</f>
        <v>255</v>
      </c>
    </row>
    <row r="88" spans="1:7">
      <c r="A88" s="116"/>
      <c r="B88" s="116"/>
      <c r="C88" s="116"/>
      <c r="D88" s="117"/>
      <c r="E88" s="116"/>
      <c r="F88" s="200"/>
    </row>
    <row r="89" spans="1:7" ht="18" customHeight="1">
      <c r="A89" s="51" t="s">
        <v>479</v>
      </c>
      <c r="B89" s="472" t="s">
        <v>478</v>
      </c>
      <c r="C89" s="472"/>
      <c r="D89" s="476" t="s">
        <v>123</v>
      </c>
      <c r="E89" s="228"/>
      <c r="F89" s="474"/>
    </row>
    <row r="90" spans="1:7" ht="15" customHeight="1">
      <c r="A90" s="483" t="s">
        <v>480</v>
      </c>
      <c r="B90" s="116">
        <v>2003684</v>
      </c>
      <c r="C90" s="116" t="s">
        <v>116</v>
      </c>
      <c r="D90" s="480" t="s">
        <v>232</v>
      </c>
      <c r="E90" s="135" t="s">
        <v>8</v>
      </c>
      <c r="F90" s="200">
        <f>'MEMORIAL DE CALCULO'!C30</f>
        <v>5</v>
      </c>
    </row>
    <row r="91" spans="1:7" ht="15" customHeight="1">
      <c r="A91" s="483" t="s">
        <v>481</v>
      </c>
      <c r="B91" s="116">
        <v>2003714</v>
      </c>
      <c r="C91" s="116" t="s">
        <v>116</v>
      </c>
      <c r="D91" s="480" t="s">
        <v>235</v>
      </c>
      <c r="E91" s="135" t="s">
        <v>8</v>
      </c>
      <c r="F91" s="200">
        <f>F90</f>
        <v>5</v>
      </c>
    </row>
    <row r="92" spans="1:7" ht="29.25" customHeight="1">
      <c r="A92" s="92" t="s">
        <v>482</v>
      </c>
      <c r="B92" s="116">
        <v>804385</v>
      </c>
      <c r="C92" s="116" t="s">
        <v>116</v>
      </c>
      <c r="D92" s="480" t="s">
        <v>313</v>
      </c>
      <c r="E92" s="135" t="s">
        <v>8</v>
      </c>
      <c r="F92" s="200">
        <v>2</v>
      </c>
    </row>
    <row r="93" spans="1:7" ht="15" customHeight="1">
      <c r="A93" s="483" t="s">
        <v>483</v>
      </c>
      <c r="B93" s="116">
        <v>2003455</v>
      </c>
      <c r="C93" s="116" t="s">
        <v>116</v>
      </c>
      <c r="D93" s="480" t="s">
        <v>324</v>
      </c>
      <c r="E93" s="135" t="s">
        <v>8</v>
      </c>
      <c r="F93" s="200">
        <v>1</v>
      </c>
    </row>
    <row r="94" spans="1:7" ht="15" customHeight="1">
      <c r="A94" s="527" t="s">
        <v>484</v>
      </c>
      <c r="B94" s="116" t="s">
        <v>504</v>
      </c>
      <c r="C94" s="116" t="s">
        <v>333</v>
      </c>
      <c r="D94" s="480" t="s">
        <v>201</v>
      </c>
      <c r="E94" s="135" t="s">
        <v>8</v>
      </c>
      <c r="F94" s="200">
        <v>4</v>
      </c>
    </row>
    <row r="95" spans="1:7" ht="15" customHeight="1">
      <c r="A95" s="527" t="s">
        <v>485</v>
      </c>
      <c r="B95" s="116" t="s">
        <v>505</v>
      </c>
      <c r="C95" s="116" t="s">
        <v>333</v>
      </c>
      <c r="D95" s="480" t="s">
        <v>319</v>
      </c>
      <c r="E95" s="135" t="s">
        <v>8</v>
      </c>
      <c r="F95" s="200">
        <v>6</v>
      </c>
    </row>
    <row r="96" spans="1:7">
      <c r="A96" s="86"/>
      <c r="B96" s="295"/>
      <c r="C96" s="86"/>
      <c r="D96" s="86"/>
      <c r="E96" s="86"/>
      <c r="F96" s="300"/>
    </row>
    <row r="97" spans="1:6" ht="18" customHeight="1">
      <c r="A97" s="51" t="s">
        <v>486</v>
      </c>
      <c r="B97" s="228" t="s">
        <v>370</v>
      </c>
      <c r="C97" s="228"/>
      <c r="D97" s="477" t="s">
        <v>371</v>
      </c>
      <c r="E97" s="478"/>
      <c r="F97" s="479"/>
    </row>
    <row r="98" spans="1:6" ht="15" customHeight="1">
      <c r="A98" s="483" t="s">
        <v>487</v>
      </c>
      <c r="B98" s="116">
        <v>4413905</v>
      </c>
      <c r="C98" s="116" t="s">
        <v>116</v>
      </c>
      <c r="D98" s="480" t="s">
        <v>373</v>
      </c>
      <c r="E98" s="484" t="s">
        <v>5</v>
      </c>
      <c r="F98" s="485">
        <f>F24+F34</f>
        <v>3595.0167692307687</v>
      </c>
    </row>
    <row r="99" spans="1:6" ht="21.75" customHeight="1">
      <c r="A99" s="483" t="s">
        <v>488</v>
      </c>
      <c r="B99" s="116" t="s">
        <v>374</v>
      </c>
      <c r="C99" s="116" t="s">
        <v>116</v>
      </c>
      <c r="D99" s="480" t="s">
        <v>375</v>
      </c>
      <c r="E99" s="482" t="s">
        <v>177</v>
      </c>
      <c r="F99" s="486">
        <v>14</v>
      </c>
    </row>
    <row r="101" spans="1:6">
      <c r="F101" s="159">
        <f>SUM(F8:F100)</f>
        <v>205503.11923767428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5">
    <mergeCell ref="A2:E2"/>
    <mergeCell ref="A3:E3"/>
    <mergeCell ref="A4:E4"/>
    <mergeCell ref="F3:F4"/>
    <mergeCell ref="A1:F1"/>
  </mergeCells>
  <phoneticPr fontId="70" type="noConversion"/>
  <printOptions horizontalCentered="1"/>
  <pageMargins left="0.31496062992125984" right="0.31496062992125984" top="0.55118110236220474" bottom="0.39370078740157483" header="0.31496062992125984" footer="0.31496062992125984"/>
  <pageSetup paperSize="8" fitToWidth="2" fitToHeight="2" orientation="portrait" horizontalDpi="4294967294" r:id="rId2"/>
  <rowBreaks count="1" manualBreakCount="1"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GZ104"/>
  <sheetViews>
    <sheetView tabSelected="1" topLeftCell="A91" zoomScale="90" zoomScaleNormal="90" zoomScaleSheetLayoutView="110" workbookViewId="0">
      <selection activeCell="E94" sqref="E94"/>
    </sheetView>
  </sheetViews>
  <sheetFormatPr defaultRowHeight="15" customHeight="1"/>
  <cols>
    <col min="1" max="1" width="7.140625" style="81" customWidth="1"/>
    <col min="2" max="2" width="11.5703125" style="204" bestFit="1" customWidth="1"/>
    <col min="3" max="3" width="11.42578125" style="2" bestFit="1" customWidth="1"/>
    <col min="4" max="4" width="67" style="1" customWidth="1"/>
    <col min="5" max="5" width="6.28515625" style="2" customWidth="1"/>
    <col min="6" max="6" width="11.85546875" style="90" bestFit="1" customWidth="1"/>
    <col min="7" max="7" width="10.42578125" style="187" customWidth="1"/>
    <col min="8" max="8" width="13.28515625" style="3" bestFit="1" customWidth="1"/>
    <col min="9" max="9" width="12.28515625" style="3" customWidth="1"/>
    <col min="10" max="10" width="16.85546875" style="3" customWidth="1"/>
    <col min="11" max="11" width="20.140625" style="1" customWidth="1"/>
    <col min="12" max="12" width="10.5703125" style="1" bestFit="1" customWidth="1"/>
    <col min="13" max="13" width="7.42578125" style="1" bestFit="1" customWidth="1"/>
    <col min="14" max="16384" width="9.140625" style="1"/>
  </cols>
  <sheetData>
    <row r="1" spans="1:208" s="259" customFormat="1" ht="20.100000000000001" customHeight="1">
      <c r="A1" s="658" t="str">
        <f>[1]QUANT!A1</f>
        <v>PREFEITURA MUNICIPAL DE VÁRZEA GRANDE</v>
      </c>
      <c r="B1" s="659"/>
      <c r="C1" s="659"/>
      <c r="D1" s="664" t="s">
        <v>159</v>
      </c>
      <c r="E1" s="664"/>
      <c r="F1" s="664"/>
      <c r="G1" s="664"/>
      <c r="H1" s="664"/>
      <c r="I1" s="664"/>
      <c r="J1" s="491" t="s">
        <v>58</v>
      </c>
      <c r="GZ1" s="259" t="s">
        <v>9</v>
      </c>
    </row>
    <row r="2" spans="1:208" s="260" customFormat="1" ht="20.100000000000001" customHeight="1">
      <c r="A2" s="660"/>
      <c r="B2" s="661"/>
      <c r="C2" s="661"/>
      <c r="D2" s="665" t="str">
        <f>QUANT!A2</f>
        <v>BAIRRO: NOVA ESPERANÇA</v>
      </c>
      <c r="E2" s="665"/>
      <c r="F2" s="665"/>
      <c r="G2" s="665"/>
      <c r="H2" s="665"/>
      <c r="I2" s="665"/>
      <c r="J2" s="492" t="str">
        <f>RESUMO!D10</f>
        <v>09/2021 SINAPI</v>
      </c>
    </row>
    <row r="3" spans="1:208" s="260" customFormat="1" ht="20.100000000000001" customHeight="1">
      <c r="A3" s="660"/>
      <c r="B3" s="661"/>
      <c r="C3" s="661"/>
      <c r="D3" s="657" t="str">
        <f>QUANT!A3</f>
        <v>RUAS: NOVA ESPERAÇA</v>
      </c>
      <c r="E3" s="657"/>
      <c r="F3" s="657"/>
      <c r="G3" s="657"/>
      <c r="H3" s="657"/>
      <c r="I3" s="657"/>
      <c r="J3" s="493" t="str">
        <f>RESUMO!D11</f>
        <v>04/2021 SICRO 3</v>
      </c>
    </row>
    <row r="4" spans="1:208" s="260" customFormat="1" ht="20.100000000000001" customHeight="1">
      <c r="A4" s="662" t="s">
        <v>465</v>
      </c>
      <c r="B4" s="663"/>
      <c r="C4" s="663"/>
      <c r="D4" s="494">
        <f>BDI!E25</f>
        <v>0.20699999999999999</v>
      </c>
      <c r="E4" s="655" t="s">
        <v>57</v>
      </c>
      <c r="F4" s="656"/>
      <c r="G4" s="489">
        <f>'TERRAP E PAVIM'!S11</f>
        <v>2512.61</v>
      </c>
      <c r="H4" s="490" t="s">
        <v>150</v>
      </c>
      <c r="I4" s="488">
        <f>'TERRAP E PAVIM'!H11</f>
        <v>392.596</v>
      </c>
      <c r="J4" s="651" t="s">
        <v>160</v>
      </c>
    </row>
    <row r="5" spans="1:208" s="260" customFormat="1" ht="20.100000000000001" customHeight="1">
      <c r="A5" s="614" t="s">
        <v>466</v>
      </c>
      <c r="B5" s="615"/>
      <c r="C5" s="615"/>
      <c r="D5" s="495">
        <f>'BDI DIFERENCIADO'!E25</f>
        <v>0.1527</v>
      </c>
      <c r="E5" s="666" t="s">
        <v>10</v>
      </c>
      <c r="F5" s="668" t="s">
        <v>11</v>
      </c>
      <c r="G5" s="666" t="s">
        <v>12</v>
      </c>
      <c r="H5" s="670" t="s">
        <v>153</v>
      </c>
      <c r="I5" s="666" t="s">
        <v>13</v>
      </c>
      <c r="J5" s="652"/>
    </row>
    <row r="6" spans="1:208" s="265" customFormat="1" ht="19.5" customHeight="1">
      <c r="A6" s="261" t="str">
        <f>[1]QUANT!A5</f>
        <v>ITEM</v>
      </c>
      <c r="B6" s="262" t="str">
        <f>[1]QUANT!B5</f>
        <v>CODIGO</v>
      </c>
      <c r="C6" s="262" t="str">
        <f>[1]QUANT!C5</f>
        <v>BANCO</v>
      </c>
      <c r="D6" s="263" t="str">
        <f>[1]QUANT!D5</f>
        <v>DISCRIMINAÇÃO</v>
      </c>
      <c r="E6" s="667"/>
      <c r="F6" s="669"/>
      <c r="G6" s="667"/>
      <c r="H6" s="671"/>
      <c r="I6" s="667"/>
      <c r="J6" s="264" t="s">
        <v>14</v>
      </c>
    </row>
    <row r="7" spans="1:208" s="265" customFormat="1" ht="18" customHeight="1">
      <c r="A7" s="452" t="str">
        <f>QUANT!A7</f>
        <v>1.0</v>
      </c>
      <c r="B7" s="453" t="str">
        <f>QUANT!B7</f>
        <v>I</v>
      </c>
      <c r="C7" s="453"/>
      <c r="D7" s="454" t="str">
        <f>QUANT!D7</f>
        <v>SERVIÇOS PRELIMINARES</v>
      </c>
      <c r="E7" s="451"/>
      <c r="F7" s="455"/>
      <c r="G7" s="456"/>
      <c r="H7" s="456"/>
      <c r="I7" s="456"/>
      <c r="J7" s="457"/>
    </row>
    <row r="8" spans="1:208" s="265" customFormat="1" ht="15" customHeight="1">
      <c r="A8" s="269" t="str">
        <f>QUANT!A8</f>
        <v>1.1</v>
      </c>
      <c r="B8" s="266" t="str">
        <f>QUANT!B8</f>
        <v>COMP 1.1</v>
      </c>
      <c r="C8" s="266" t="str">
        <f>QUANT!C8</f>
        <v>Composição</v>
      </c>
      <c r="D8" s="270" t="str">
        <f>QUANT!D8</f>
        <v>Placa de obra em chapa de aço galvanizado</v>
      </c>
      <c r="E8" s="266" t="str">
        <f>QUANT!E8</f>
        <v>m²</v>
      </c>
      <c r="F8" s="266">
        <f>QUANT!F8</f>
        <v>12.5</v>
      </c>
      <c r="G8" s="567">
        <v>318.66000000000003</v>
      </c>
      <c r="H8" s="567">
        <f>TRUNC((G8*(1+($D$4))),2)</f>
        <v>384.62</v>
      </c>
      <c r="I8" s="567">
        <f>TRUNC(F8*H8,2)</f>
        <v>4807.75</v>
      </c>
      <c r="J8" s="268"/>
    </row>
    <row r="9" spans="1:208" s="260" customFormat="1" ht="15" customHeight="1">
      <c r="A9" s="269" t="str">
        <f>QUANT!A9</f>
        <v>1.2</v>
      </c>
      <c r="B9" s="266">
        <f>QUANT!B9</f>
        <v>93584</v>
      </c>
      <c r="C9" s="266" t="str">
        <f>QUANT!C9</f>
        <v>SINAPI</v>
      </c>
      <c r="D9" s="270" t="str">
        <f>QUANT!D9</f>
        <v>Execução de depósito em canteiro de obra</v>
      </c>
      <c r="E9" s="266" t="str">
        <f>QUANT!E9</f>
        <v>m²</v>
      </c>
      <c r="F9" s="266">
        <f>QUANT!F9</f>
        <v>30</v>
      </c>
      <c r="G9" s="567">
        <v>700.18</v>
      </c>
      <c r="H9" s="567">
        <f>TRUNC((G9*(1+($D$4))),2)</f>
        <v>845.11</v>
      </c>
      <c r="I9" s="567">
        <f>TRUNC(F9*H9,2)</f>
        <v>25353.3</v>
      </c>
      <c r="J9" s="271"/>
      <c r="M9" s="265"/>
    </row>
    <row r="10" spans="1:208" s="260" customFormat="1" ht="36">
      <c r="A10" s="269" t="str">
        <f>QUANT!A10</f>
        <v>1.3</v>
      </c>
      <c r="B10" s="266" t="str">
        <f>QUANT!B10</f>
        <v>COMP 1.3</v>
      </c>
      <c r="C10" s="266" t="str">
        <f>QUANT!C10</f>
        <v>Composição</v>
      </c>
      <c r="D10" s="272" t="str">
        <f>QUANT!D10</f>
        <v>Aluguel container/sanit c/2 vasos/1 lavat/1 mic/4 chuv larg2,20m compr=6,20m alt=2,50m chapa aco c/nerv trapez forro c/isolam termo/acustico chassis reforc piso compens naval inclinst eletr/hidr excl transp/carga/descarga</v>
      </c>
      <c r="E10" s="266" t="str">
        <f>QUANT!E10</f>
        <v>mês</v>
      </c>
      <c r="F10" s="266">
        <f>QUANT!F10</f>
        <v>6</v>
      </c>
      <c r="G10" s="567">
        <v>492.18</v>
      </c>
      <c r="H10" s="567">
        <f>TRUNC((G10*(1+($D$5))),2)</f>
        <v>567.33000000000004</v>
      </c>
      <c r="I10" s="567">
        <f>TRUNC(F10*H10,2)</f>
        <v>3403.98</v>
      </c>
      <c r="J10" s="271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  <c r="BB10" s="265"/>
      <c r="BC10" s="265"/>
      <c r="BD10" s="265"/>
      <c r="BE10" s="265"/>
      <c r="BF10" s="265"/>
      <c r="BG10" s="265"/>
      <c r="BH10" s="265"/>
      <c r="BI10" s="265"/>
      <c r="BJ10" s="265"/>
      <c r="BK10" s="265"/>
      <c r="BL10" s="265"/>
      <c r="BM10" s="265"/>
      <c r="BN10" s="265"/>
      <c r="BO10" s="265"/>
      <c r="BP10" s="265"/>
      <c r="BQ10" s="265"/>
      <c r="BR10" s="265"/>
      <c r="BS10" s="265"/>
      <c r="BT10" s="265"/>
      <c r="BU10" s="265"/>
      <c r="BV10" s="265"/>
      <c r="BW10" s="265"/>
      <c r="BX10" s="265"/>
      <c r="BY10" s="265"/>
      <c r="BZ10" s="265"/>
      <c r="CA10" s="265"/>
      <c r="CB10" s="265"/>
      <c r="CC10" s="265"/>
      <c r="CD10" s="265"/>
      <c r="CE10" s="265"/>
    </row>
    <row r="11" spans="1:208" s="260" customFormat="1" ht="15" customHeight="1">
      <c r="A11" s="269" t="str">
        <f>QUANT!A11</f>
        <v>1.4</v>
      </c>
      <c r="B11" s="266">
        <f>QUANT!B11</f>
        <v>5213417</v>
      </c>
      <c r="C11" s="266" t="str">
        <f>QUANT!C11</f>
        <v>SICRO 3</v>
      </c>
      <c r="D11" s="272" t="str">
        <f>QUANT!D11</f>
        <v>Confecção de placa em aço nº 16 galvanizado, com película retrorrefletiva tipo I + III</v>
      </c>
      <c r="E11" s="266" t="str">
        <f>QUANT!E11</f>
        <v>m²</v>
      </c>
      <c r="F11" s="266">
        <f>QUANT!F11</f>
        <v>3.125</v>
      </c>
      <c r="G11" s="567">
        <v>345.68</v>
      </c>
      <c r="H11" s="567">
        <f>TRUNC((G11*(1+($D$4))),2)</f>
        <v>417.23</v>
      </c>
      <c r="I11" s="567">
        <f>TRUNC(F11*H11,2)</f>
        <v>1303.8399999999999</v>
      </c>
      <c r="J11" s="271">
        <f>SUM(I8:I11)</f>
        <v>34868.869999999995</v>
      </c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265"/>
      <c r="BS11" s="265"/>
      <c r="BT11" s="265"/>
      <c r="BU11" s="265"/>
      <c r="BV11" s="265"/>
      <c r="BW11" s="265"/>
      <c r="BX11" s="265"/>
      <c r="BY11" s="265"/>
      <c r="BZ11" s="265"/>
      <c r="CA11" s="265"/>
      <c r="CB11" s="265"/>
      <c r="CC11" s="265"/>
      <c r="CD11" s="265"/>
      <c r="CE11" s="265"/>
    </row>
    <row r="12" spans="1:208" s="260" customFormat="1" ht="12.75">
      <c r="A12" s="269"/>
      <c r="B12" s="266"/>
      <c r="C12" s="266"/>
      <c r="D12" s="270"/>
      <c r="E12" s="266"/>
      <c r="F12" s="266"/>
      <c r="G12" s="567"/>
      <c r="H12" s="567"/>
      <c r="I12" s="567"/>
      <c r="J12" s="273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265"/>
      <c r="BS12" s="265"/>
      <c r="BT12" s="265"/>
      <c r="BU12" s="265"/>
      <c r="BV12" s="265"/>
      <c r="BW12" s="265"/>
      <c r="BX12" s="265"/>
      <c r="BY12" s="265"/>
      <c r="BZ12" s="265"/>
      <c r="CA12" s="265"/>
      <c r="CB12" s="265"/>
      <c r="CC12" s="265"/>
      <c r="CD12" s="265"/>
      <c r="CE12" s="265"/>
    </row>
    <row r="13" spans="1:208" s="260" customFormat="1" ht="18" customHeight="1">
      <c r="A13" s="452" t="str">
        <f>QUANT!A13</f>
        <v>2.0</v>
      </c>
      <c r="B13" s="453" t="str">
        <f>QUANT!B13</f>
        <v>II</v>
      </c>
      <c r="C13" s="451"/>
      <c r="D13" s="454" t="str">
        <f>QUANT!D13</f>
        <v>ADMINISTRAÇÃO LOCAL</v>
      </c>
      <c r="E13" s="451"/>
      <c r="F13" s="451"/>
      <c r="G13" s="567"/>
      <c r="H13" s="88"/>
      <c r="I13" s="88"/>
      <c r="J13" s="458"/>
      <c r="M13" s="265"/>
    </row>
    <row r="14" spans="1:208" s="260" customFormat="1" ht="15" customHeight="1">
      <c r="A14" s="447" t="str">
        <f>QUANT!A14</f>
        <v>2.1</v>
      </c>
      <c r="B14" s="443" t="str">
        <f>QUANT!B14</f>
        <v>COMP 2.1</v>
      </c>
      <c r="C14" s="443" t="str">
        <f>QUANT!C14</f>
        <v>Composição</v>
      </c>
      <c r="D14" s="450" t="str">
        <f>QUANT!D14</f>
        <v>Administração Local</v>
      </c>
      <c r="E14" s="266" t="s">
        <v>8</v>
      </c>
      <c r="F14" s="301">
        <v>1</v>
      </c>
      <c r="G14" s="567">
        <v>27092.93</v>
      </c>
      <c r="H14" s="567">
        <f>TRUNC((G14*(1+($D$4))),2)</f>
        <v>32701.16</v>
      </c>
      <c r="I14" s="567">
        <f>TRUNC(F14*H14,2)</f>
        <v>32701.16</v>
      </c>
      <c r="J14" s="273">
        <f>SUM(I14)</f>
        <v>32701.16</v>
      </c>
      <c r="K14" s="274">
        <f>J14/J100</f>
        <v>3.5981733371169659E-2</v>
      </c>
      <c r="M14" s="265"/>
    </row>
    <row r="15" spans="1:208" s="260" customFormat="1" ht="12.75" customHeight="1">
      <c r="A15" s="269"/>
      <c r="B15" s="266"/>
      <c r="C15" s="266"/>
      <c r="D15" s="270"/>
      <c r="E15" s="266"/>
      <c r="F15" s="266"/>
      <c r="G15" s="567"/>
      <c r="H15" s="567"/>
      <c r="I15" s="567"/>
      <c r="J15" s="273"/>
      <c r="K15" s="274"/>
      <c r="M15" s="265"/>
    </row>
    <row r="16" spans="1:208" s="260" customFormat="1" ht="18" customHeight="1">
      <c r="A16" s="452" t="str">
        <f>QUANT!A16</f>
        <v>3.0</v>
      </c>
      <c r="B16" s="453" t="str">
        <f>QUANT!B16</f>
        <v>III</v>
      </c>
      <c r="C16" s="453"/>
      <c r="D16" s="454" t="str">
        <f>QUANT!D16</f>
        <v>ENSAIOS TECNOLÓGICOS DE SOLO E ASFALTO</v>
      </c>
      <c r="E16" s="451"/>
      <c r="F16" s="455"/>
      <c r="G16" s="567"/>
      <c r="H16" s="88"/>
      <c r="I16" s="88"/>
      <c r="J16" s="458"/>
      <c r="M16" s="265"/>
    </row>
    <row r="17" spans="1:13" s="260" customFormat="1" ht="15" customHeight="1">
      <c r="A17" s="269" t="str">
        <f>QUANT!A17</f>
        <v>3.1</v>
      </c>
      <c r="B17" s="266" t="str">
        <f>QUANT!B8</f>
        <v>COMP 1.1</v>
      </c>
      <c r="C17" s="266" t="str">
        <f>QUANT!C8</f>
        <v>Composição</v>
      </c>
      <c r="D17" s="450" t="str">
        <f>QUANT!D17</f>
        <v>Ensaio de regularição de sub-leito</v>
      </c>
      <c r="E17" s="266" t="str">
        <f>QUANT!E17</f>
        <v>m²</v>
      </c>
      <c r="F17" s="267">
        <f>QUANT!F17</f>
        <v>3533.36</v>
      </c>
      <c r="G17" s="567">
        <v>0.76</v>
      </c>
      <c r="H17" s="567">
        <f>TRUNC((G17*(1+($D$4))),2)</f>
        <v>0.91</v>
      </c>
      <c r="I17" s="567">
        <f>TRUNC(F17*H17,2)</f>
        <v>3215.35</v>
      </c>
      <c r="J17" s="273"/>
      <c r="K17" s="518"/>
      <c r="M17" s="265"/>
    </row>
    <row r="18" spans="1:13" s="260" customFormat="1" ht="15" customHeight="1">
      <c r="A18" s="269" t="str">
        <f>QUANT!A18</f>
        <v>3.2</v>
      </c>
      <c r="B18" s="266" t="str">
        <f>QUANT!B18</f>
        <v>COMP 3.2</v>
      </c>
      <c r="C18" s="266" t="str">
        <f>QUANT!C18</f>
        <v>Composição</v>
      </c>
      <c r="D18" s="450" t="str">
        <f>QUANT!D18</f>
        <v>Ensaio de Sub-base estabilizada granulometricamente)</v>
      </c>
      <c r="E18" s="266" t="str">
        <f>QUANT!E18</f>
        <v>m³</v>
      </c>
      <c r="F18" s="267">
        <f>QUANT!F18</f>
        <v>530</v>
      </c>
      <c r="G18" s="567">
        <v>1.48</v>
      </c>
      <c r="H18" s="567">
        <f>TRUNC((G18*(1+($D$4))),2)</f>
        <v>1.78</v>
      </c>
      <c r="I18" s="567">
        <f>TRUNC(F18*H18,2)</f>
        <v>943.4</v>
      </c>
      <c r="J18" s="273"/>
      <c r="K18" s="518"/>
      <c r="M18" s="265"/>
    </row>
    <row r="19" spans="1:13" s="260" customFormat="1" ht="15" customHeight="1">
      <c r="A19" s="269" t="str">
        <f>QUANT!A19</f>
        <v>3.3</v>
      </c>
      <c r="B19" s="266" t="str">
        <f>QUANT!B19</f>
        <v>COMP 3.3</v>
      </c>
      <c r="C19" s="266" t="str">
        <f>QUANT!C19</f>
        <v>Composição</v>
      </c>
      <c r="D19" s="450" t="str">
        <f>QUANT!D19</f>
        <v>Ensaio de base estabilizada granulometricamente</v>
      </c>
      <c r="E19" s="266" t="str">
        <f>QUANT!E19</f>
        <v>m³</v>
      </c>
      <c r="F19" s="267">
        <f>QUANT!F19</f>
        <v>530</v>
      </c>
      <c r="G19" s="567">
        <v>1.48</v>
      </c>
      <c r="H19" s="567">
        <f>TRUNC((G19*(1+($D$4))),2)</f>
        <v>1.78</v>
      </c>
      <c r="I19" s="567">
        <f>TRUNC(F19*H19,2)</f>
        <v>943.4</v>
      </c>
      <c r="J19" s="273"/>
      <c r="K19" s="518"/>
      <c r="M19" s="265"/>
    </row>
    <row r="20" spans="1:13" s="260" customFormat="1" ht="24">
      <c r="A20" s="269" t="str">
        <f>QUANT!A20</f>
        <v>3.4</v>
      </c>
      <c r="B20" s="266" t="str">
        <f>QUANT!B20</f>
        <v>COMP 3.4</v>
      </c>
      <c r="C20" s="266" t="str">
        <f>QUANT!C20</f>
        <v>Composição</v>
      </c>
      <c r="D20" s="450" t="str">
        <f>QUANT!D20</f>
        <v>Ensaio de resistência a compressão simples do concreto - meio-fio, sarjetas e calçadas (considerado 1,0 amostra a cada 200 m)</v>
      </c>
      <c r="E20" s="266" t="str">
        <f>QUANT!E20</f>
        <v>un</v>
      </c>
      <c r="F20" s="442">
        <f>QUANT!F20</f>
        <v>4.1606652000000004</v>
      </c>
      <c r="G20" s="567">
        <v>126.41</v>
      </c>
      <c r="H20" s="567">
        <f>TRUNC((G20*(1+($D$4))),2)</f>
        <v>152.57</v>
      </c>
      <c r="I20" s="567">
        <f>TRUNC(F20*H20,2)</f>
        <v>634.79</v>
      </c>
      <c r="J20" s="273">
        <f>SUM(I17:I20)</f>
        <v>5736.94</v>
      </c>
      <c r="K20" s="518"/>
      <c r="M20" s="265"/>
    </row>
    <row r="21" spans="1:13" s="260" customFormat="1" ht="12.75">
      <c r="A21" s="269"/>
      <c r="B21" s="275"/>
      <c r="C21" s="277"/>
      <c r="D21" s="278"/>
      <c r="E21" s="266"/>
      <c r="F21" s="267"/>
      <c r="G21" s="567"/>
      <c r="H21" s="567"/>
      <c r="I21" s="567"/>
      <c r="J21" s="279"/>
      <c r="M21" s="265"/>
    </row>
    <row r="22" spans="1:13" s="260" customFormat="1" ht="18" customHeight="1">
      <c r="A22" s="452" t="str">
        <f>QUANT!A22</f>
        <v>4.0</v>
      </c>
      <c r="B22" s="453" t="s">
        <v>290</v>
      </c>
      <c r="C22" s="453"/>
      <c r="D22" s="454" t="str">
        <f>QUANT!D22</f>
        <v>TERRAPLENAGEM</v>
      </c>
      <c r="E22" s="451"/>
      <c r="F22" s="455"/>
      <c r="G22" s="567"/>
      <c r="H22" s="88"/>
      <c r="I22" s="88"/>
      <c r="J22" s="459"/>
      <c r="M22" s="265"/>
    </row>
    <row r="23" spans="1:13" s="260" customFormat="1" ht="15" customHeight="1">
      <c r="A23" s="447" t="str">
        <f>QUANT!A23</f>
        <v>4.1</v>
      </c>
      <c r="B23" s="443" t="str">
        <f>QUANT!B23</f>
        <v>COMP. 4.1</v>
      </c>
      <c r="C23" s="443" t="str">
        <f>QUANT!C23</f>
        <v>Composição</v>
      </c>
      <c r="D23" s="450" t="str">
        <f>QUANT!D23</f>
        <v>Limpeza Mecanizada de camada vegetal; vegetação pequena e pequenas arvores</v>
      </c>
      <c r="E23" s="266" t="str">
        <f>QUANT!E23</f>
        <v>m²</v>
      </c>
      <c r="F23" s="267">
        <f>QUANT!F23</f>
        <v>3140.768</v>
      </c>
      <c r="G23" s="567">
        <v>0.61</v>
      </c>
      <c r="H23" s="567">
        <f t="shared" ref="H23:H31" si="0">TRUNC((G23*(1+($D$4))),2)</f>
        <v>0.73</v>
      </c>
      <c r="I23" s="567">
        <f t="shared" ref="I23:I31" si="1">TRUNC(F23*H23,2)</f>
        <v>2292.7600000000002</v>
      </c>
      <c r="J23" s="279"/>
      <c r="M23" s="265"/>
    </row>
    <row r="24" spans="1:13" s="260" customFormat="1" ht="24">
      <c r="A24" s="447" t="str">
        <f>QUANT!A24</f>
        <v>4.2</v>
      </c>
      <c r="B24" s="443">
        <f>QUANT!B24</f>
        <v>5501700</v>
      </c>
      <c r="C24" s="443" t="str">
        <f>QUANT!C24</f>
        <v>SICRO</v>
      </c>
      <c r="D24" s="450" t="str">
        <f>QUANT!D24</f>
        <v>Desmatamento, destocamento, limpeza de área e estocagem do material de limpeza com árvores de diâmetro até 0,15 m jazida</v>
      </c>
      <c r="E24" s="266" t="str">
        <f>QUANT!E24</f>
        <v>m²</v>
      </c>
      <c r="F24" s="267">
        <f>QUANT!F24</f>
        <v>2616.5552307692301</v>
      </c>
      <c r="G24" s="567">
        <v>0.32</v>
      </c>
      <c r="H24" s="567">
        <f t="shared" si="0"/>
        <v>0.38</v>
      </c>
      <c r="I24" s="567">
        <f t="shared" si="1"/>
        <v>994.29</v>
      </c>
      <c r="J24" s="279"/>
      <c r="M24" s="265"/>
    </row>
    <row r="25" spans="1:13" s="260" customFormat="1" ht="15" customHeight="1">
      <c r="A25" s="447" t="str">
        <f>QUANT!A25</f>
        <v>4.3</v>
      </c>
      <c r="B25" s="443">
        <f>QUANT!B25</f>
        <v>5502986</v>
      </c>
      <c r="C25" s="443" t="str">
        <f>QUANT!C25</f>
        <v>SICRO</v>
      </c>
      <c r="D25" s="450" t="str">
        <f>QUANT!D25</f>
        <v>Expurgo de jazida</v>
      </c>
      <c r="E25" s="266" t="str">
        <f>QUANT!E25</f>
        <v>m³</v>
      </c>
      <c r="F25" s="267">
        <f>QUANT!F25</f>
        <v>392.48328461538449</v>
      </c>
      <c r="G25" s="567">
        <v>2.0099999999999998</v>
      </c>
      <c r="H25" s="567">
        <f t="shared" si="0"/>
        <v>2.42</v>
      </c>
      <c r="I25" s="567">
        <f t="shared" si="1"/>
        <v>949.8</v>
      </c>
      <c r="J25" s="279"/>
      <c r="M25" s="265"/>
    </row>
    <row r="26" spans="1:13" s="260" customFormat="1" ht="24">
      <c r="A26" s="447" t="str">
        <f>QUANT!A26</f>
        <v>4.4</v>
      </c>
      <c r="B26" s="443">
        <f>QUANT!B26</f>
        <v>5502109</v>
      </c>
      <c r="C26" s="443" t="str">
        <f>QUANT!C26</f>
        <v>SICRO</v>
      </c>
      <c r="D26" s="450" t="str">
        <f>QUANT!D26</f>
        <v>Escavação, carga e transporte de material de 1ª categoria - DMT de 50 a 200 m - caminho de serviço em leito natural - com</v>
      </c>
      <c r="E26" s="266" t="str">
        <f>QUANT!E26</f>
        <v>m³</v>
      </c>
      <c r="F26" s="267">
        <f>QUANT!F26</f>
        <v>1248.135</v>
      </c>
      <c r="G26" s="567">
        <v>3.94</v>
      </c>
      <c r="H26" s="567">
        <f t="shared" si="0"/>
        <v>4.75</v>
      </c>
      <c r="I26" s="567">
        <f t="shared" si="1"/>
        <v>5928.64</v>
      </c>
      <c r="J26" s="279"/>
      <c r="M26" s="265"/>
    </row>
    <row r="27" spans="1:13" s="260" customFormat="1" ht="12.75">
      <c r="A27" s="447" t="str">
        <f>QUANT!A27</f>
        <v>4.5</v>
      </c>
      <c r="B27" s="443">
        <f>QUANT!B27</f>
        <v>5503041</v>
      </c>
      <c r="C27" s="443" t="str">
        <f>QUANT!C27</f>
        <v>SICRO 3</v>
      </c>
      <c r="D27" s="450" t="str">
        <f>QUANT!D27</f>
        <v>Compactação de aterros a 100% do Proctor intermediário</v>
      </c>
      <c r="E27" s="266" t="str">
        <f>QUANT!E27</f>
        <v>m³</v>
      </c>
      <c r="F27" s="267">
        <f>TRUNC(QUANT!F27,3)</f>
        <v>1040.1120000000001</v>
      </c>
      <c r="G27" s="567">
        <v>5.96</v>
      </c>
      <c r="H27" s="567">
        <f t="shared" si="0"/>
        <v>7.19</v>
      </c>
      <c r="I27" s="567">
        <f t="shared" si="1"/>
        <v>7478.4</v>
      </c>
      <c r="J27" s="279"/>
      <c r="M27" s="265"/>
    </row>
    <row r="28" spans="1:13" s="260" customFormat="1" ht="15" customHeight="1">
      <c r="A28" s="447" t="str">
        <f>QUANT!A28</f>
        <v>4.6</v>
      </c>
      <c r="B28" s="443">
        <f>QUANT!B28</f>
        <v>4016096</v>
      </c>
      <c r="C28" s="443" t="str">
        <f>QUANT!C28</f>
        <v>SICRO 3</v>
      </c>
      <c r="D28" s="450" t="str">
        <f>QUANT!D28</f>
        <v>Escavação e carga de material de jazida com escavadeira hidráulica de 1,56 m³</v>
      </c>
      <c r="E28" s="266" t="str">
        <f>QUANT!E28</f>
        <v>m³</v>
      </c>
      <c r="F28" s="267">
        <f>QUANT!F28</f>
        <v>3401.5217999999995</v>
      </c>
      <c r="G28" s="567">
        <v>0.98</v>
      </c>
      <c r="H28" s="567">
        <f t="shared" si="0"/>
        <v>1.18</v>
      </c>
      <c r="I28" s="567">
        <f t="shared" si="1"/>
        <v>4013.79</v>
      </c>
      <c r="J28" s="279"/>
      <c r="M28" s="265"/>
    </row>
    <row r="29" spans="1:13" s="260" customFormat="1" ht="24">
      <c r="A29" s="447" t="str">
        <f>QUANT!A29</f>
        <v>4.7</v>
      </c>
      <c r="B29" s="443" t="str">
        <f>QUANT!B29</f>
        <v>COMP. 4.7</v>
      </c>
      <c r="C29" s="443" t="str">
        <f>QUANT!C29</f>
        <v>Composição</v>
      </c>
      <c r="D29" s="450" t="str">
        <f>QUANT!D29</f>
        <v>Carga, manobras e descarga de areia, brita, pedra de mão e solos com caminhão basculante 6 m3 (descarga livre)</v>
      </c>
      <c r="E29" s="266" t="str">
        <f>QUANT!E29</f>
        <v>m³</v>
      </c>
      <c r="F29" s="267">
        <f>QUANT!F29</f>
        <v>3401.5217999999995</v>
      </c>
      <c r="G29" s="567">
        <v>1.1000000000000001</v>
      </c>
      <c r="H29" s="567">
        <f t="shared" si="0"/>
        <v>1.32</v>
      </c>
      <c r="I29" s="567">
        <f t="shared" si="1"/>
        <v>4490</v>
      </c>
      <c r="J29" s="279"/>
      <c r="K29" s="260">
        <v>72888</v>
      </c>
      <c r="M29" s="265"/>
    </row>
    <row r="30" spans="1:13" s="260" customFormat="1" ht="12.75">
      <c r="A30" s="447" t="str">
        <f>QUANT!A30</f>
        <v>4.8</v>
      </c>
      <c r="B30" s="443">
        <f>QUANT!B30</f>
        <v>5914389</v>
      </c>
      <c r="C30" s="443" t="str">
        <f>QUANT!C30</f>
        <v>SICRO</v>
      </c>
      <c r="D30" s="450" t="str">
        <f>QUANT!D30</f>
        <v>Transporte com caminhão basculante de 10 m³ - rodovia pavimentada</v>
      </c>
      <c r="E30" s="266" t="str">
        <f>QUANT!E30</f>
        <v>txkm</v>
      </c>
      <c r="F30" s="267">
        <f>TRUNC(QUANT!F30,3)</f>
        <v>112250.219</v>
      </c>
      <c r="G30" s="567">
        <v>0.52</v>
      </c>
      <c r="H30" s="567">
        <f t="shared" si="0"/>
        <v>0.62</v>
      </c>
      <c r="I30" s="567">
        <f t="shared" si="1"/>
        <v>69595.13</v>
      </c>
      <c r="J30" s="273"/>
      <c r="M30" s="265"/>
    </row>
    <row r="31" spans="1:13" s="260" customFormat="1" ht="24">
      <c r="A31" s="447" t="str">
        <f>QUANT!A31</f>
        <v>4.9</v>
      </c>
      <c r="B31" s="443">
        <f>QUANT!B31</f>
        <v>96386</v>
      </c>
      <c r="C31" s="443" t="str">
        <f>QUANT!C31</f>
        <v>SINAPI</v>
      </c>
      <c r="D31" s="450" t="str">
        <f>QUANT!D31</f>
        <v>Execução e compactação de aterro com solo predominante arenoso exclusivo fornecimento e escavação e carga do material</v>
      </c>
      <c r="E31" s="266" t="str">
        <f>QUANT!E31</f>
        <v>m³</v>
      </c>
      <c r="F31" s="267">
        <f>QUANT!F31</f>
        <v>3874.7139999999999</v>
      </c>
      <c r="G31" s="567">
        <v>5.81</v>
      </c>
      <c r="H31" s="567">
        <f t="shared" si="0"/>
        <v>7.01</v>
      </c>
      <c r="I31" s="567">
        <f t="shared" si="1"/>
        <v>27161.74</v>
      </c>
      <c r="J31" s="273">
        <f>SUM(I23:I31)</f>
        <v>122904.55</v>
      </c>
      <c r="M31" s="265"/>
    </row>
    <row r="32" spans="1:13" s="280" customFormat="1" ht="12.75">
      <c r="A32" s="269"/>
      <c r="B32" s="275"/>
      <c r="C32" s="275"/>
      <c r="D32" s="276"/>
      <c r="E32" s="266"/>
      <c r="F32" s="267"/>
      <c r="G32" s="567"/>
      <c r="H32" s="567"/>
      <c r="I32" s="567"/>
      <c r="J32" s="273"/>
      <c r="M32" s="265"/>
    </row>
    <row r="33" spans="1:13" s="280" customFormat="1" ht="18" customHeight="1">
      <c r="A33" s="452" t="str">
        <f>QUANT!A33</f>
        <v>5.0</v>
      </c>
      <c r="B33" s="453" t="str">
        <f>QUANT!B33</f>
        <v>V</v>
      </c>
      <c r="C33" s="453"/>
      <c r="D33" s="454" t="str">
        <f>QUANT!D33</f>
        <v>PAVIMENTAÇÃO (IMPLANTAÇÃO)</v>
      </c>
      <c r="E33" s="451"/>
      <c r="F33" s="455"/>
      <c r="G33" s="567"/>
      <c r="H33" s="88"/>
      <c r="I33" s="88"/>
      <c r="J33" s="458"/>
      <c r="M33" s="265"/>
    </row>
    <row r="34" spans="1:13" s="280" customFormat="1" ht="24">
      <c r="A34" s="269" t="str">
        <f>QUANT!A34</f>
        <v>5.1</v>
      </c>
      <c r="B34" s="266" t="str">
        <f>QUANT!B34</f>
        <v>5501700</v>
      </c>
      <c r="C34" s="266" t="str">
        <f>QUANT!C34</f>
        <v>SICRO</v>
      </c>
      <c r="D34" s="294" t="str">
        <f>QUANT!D34</f>
        <v>Desmatamento, destocamento, limpeza de área e estocagem do material de limpeza com árvores de diâmetro até 0,15 m jazida</v>
      </c>
      <c r="E34" s="266" t="str">
        <f>QUANT!E34</f>
        <v>m²</v>
      </c>
      <c r="F34" s="267">
        <f>QUANT!F34</f>
        <v>978.46153846153845</v>
      </c>
      <c r="G34" s="567">
        <v>0.32</v>
      </c>
      <c r="H34" s="567">
        <f t="shared" ref="H34:H39" si="2">TRUNC((G34*(1+($D$4))),2)</f>
        <v>0.38</v>
      </c>
      <c r="I34" s="567">
        <f t="shared" ref="I34:I39" si="3">TRUNC(F34*H34,2)</f>
        <v>371.81</v>
      </c>
      <c r="J34" s="273"/>
      <c r="M34" s="265"/>
    </row>
    <row r="35" spans="1:13" s="280" customFormat="1" ht="15" customHeight="1">
      <c r="A35" s="269" t="str">
        <f>QUANT!A35</f>
        <v>5.2</v>
      </c>
      <c r="B35" s="266" t="str">
        <f>QUANT!B35</f>
        <v>5502986</v>
      </c>
      <c r="C35" s="266" t="str">
        <f>QUANT!C35</f>
        <v>SICRO</v>
      </c>
      <c r="D35" s="294" t="str">
        <f>QUANT!D35</f>
        <v>Expurgo de jazida</v>
      </c>
      <c r="E35" s="266" t="str">
        <f>QUANT!E35</f>
        <v>m³</v>
      </c>
      <c r="F35" s="267">
        <f>QUANT!F35</f>
        <v>146.76923076923077</v>
      </c>
      <c r="G35" s="567">
        <v>2.0099999999999998</v>
      </c>
      <c r="H35" s="567">
        <f t="shared" si="2"/>
        <v>2.42</v>
      </c>
      <c r="I35" s="567">
        <f t="shared" si="3"/>
        <v>355.18</v>
      </c>
      <c r="J35" s="273"/>
      <c r="M35" s="265"/>
    </row>
    <row r="36" spans="1:13" s="280" customFormat="1" ht="15" customHeight="1">
      <c r="A36" s="269" t="str">
        <f>QUANT!A36</f>
        <v>5.3</v>
      </c>
      <c r="B36" s="266" t="str">
        <f>QUANT!B36</f>
        <v>COMP. 5.3</v>
      </c>
      <c r="C36" s="266" t="str">
        <f>QUANT!C36</f>
        <v>Composição</v>
      </c>
      <c r="D36" s="272" t="str">
        <f>QUANT!D36</f>
        <v>Regularização e compactação de subleito até 20 cm de espessura</v>
      </c>
      <c r="E36" s="266" t="str">
        <f>QUANT!E36</f>
        <v>m²</v>
      </c>
      <c r="F36" s="267">
        <f>QUANT!F36</f>
        <v>3533.36</v>
      </c>
      <c r="G36" s="567">
        <v>1.67</v>
      </c>
      <c r="H36" s="567">
        <f t="shared" si="2"/>
        <v>2.0099999999999998</v>
      </c>
      <c r="I36" s="567">
        <f t="shared" si="3"/>
        <v>7102.05</v>
      </c>
      <c r="J36" s="273"/>
      <c r="M36" s="265"/>
    </row>
    <row r="37" spans="1:13" s="280" customFormat="1" ht="24">
      <c r="A37" s="269" t="str">
        <f>QUANT!A37</f>
        <v>5.4</v>
      </c>
      <c r="B37" s="266" t="str">
        <f>QUANT!B37</f>
        <v>4011227</v>
      </c>
      <c r="C37" s="266" t="str">
        <f>QUANT!C37</f>
        <v>SICRO</v>
      </c>
      <c r="D37" s="272" t="str">
        <f>QUANT!D37</f>
        <v>Sub-base de solo estabilizado granulometricamente sem mistura com material de jazida</v>
      </c>
      <c r="E37" s="266" t="str">
        <f>QUANT!E37</f>
        <v>m³</v>
      </c>
      <c r="F37" s="267">
        <f>QUANT!F37</f>
        <v>530</v>
      </c>
      <c r="G37" s="567">
        <v>7.78</v>
      </c>
      <c r="H37" s="567">
        <f t="shared" si="2"/>
        <v>9.39</v>
      </c>
      <c r="I37" s="567">
        <f t="shared" si="3"/>
        <v>4976.7</v>
      </c>
      <c r="J37" s="273"/>
      <c r="M37" s="265"/>
    </row>
    <row r="38" spans="1:13" s="260" customFormat="1" ht="24">
      <c r="A38" s="269" t="str">
        <f>QUANT!A38</f>
        <v>5.5</v>
      </c>
      <c r="B38" s="266" t="str">
        <f>QUANT!B38</f>
        <v>4011219</v>
      </c>
      <c r="C38" s="266" t="str">
        <f>QUANT!C38</f>
        <v>SICRO</v>
      </c>
      <c r="D38" s="272" t="str">
        <f>QUANT!D38</f>
        <v>Base de solo estabilizado granulometricamente sem mistura com material de jazida</v>
      </c>
      <c r="E38" s="266" t="str">
        <f>QUANT!E38</f>
        <v>m³</v>
      </c>
      <c r="F38" s="267">
        <f>QUANT!F38</f>
        <v>530</v>
      </c>
      <c r="G38" s="567">
        <v>8.27</v>
      </c>
      <c r="H38" s="567">
        <f t="shared" si="2"/>
        <v>9.98</v>
      </c>
      <c r="I38" s="567">
        <f t="shared" si="3"/>
        <v>5289.4</v>
      </c>
      <c r="J38" s="273"/>
      <c r="M38" s="265"/>
    </row>
    <row r="39" spans="1:13" s="260" customFormat="1" ht="24">
      <c r="A39" s="269" t="str">
        <f>QUANT!A39</f>
        <v>5.6</v>
      </c>
      <c r="B39" s="266" t="str">
        <f>QUANT!B39</f>
        <v>COMP. 5.6</v>
      </c>
      <c r="C39" s="266" t="str">
        <f>QUANT!C39</f>
        <v>Composição</v>
      </c>
      <c r="D39" s="450" t="str">
        <f>QUANT!D39</f>
        <v>Carga, manobras e descarga de areia, brita, pedra de mão e solos com caminhão basculante 6 m3 (descarga livre)</v>
      </c>
      <c r="E39" s="266" t="str">
        <f>QUANT!E39</f>
        <v>m³</v>
      </c>
      <c r="F39" s="267">
        <f>QUANT!F39</f>
        <v>1272</v>
      </c>
      <c r="G39" s="567">
        <v>1.1000000000000001</v>
      </c>
      <c r="H39" s="567">
        <f t="shared" si="2"/>
        <v>1.32</v>
      </c>
      <c r="I39" s="567">
        <f t="shared" si="3"/>
        <v>1679.04</v>
      </c>
      <c r="J39" s="273"/>
      <c r="M39" s="265"/>
    </row>
    <row r="40" spans="1:13" s="260" customFormat="1" ht="15" customHeight="1">
      <c r="A40" s="269" t="str">
        <f>QUANT!A40</f>
        <v>5.7</v>
      </c>
      <c r="B40" s="266">
        <f>QUANT!B40</f>
        <v>4011351</v>
      </c>
      <c r="C40" s="266" t="str">
        <f>QUANT!C40</f>
        <v>SICRO</v>
      </c>
      <c r="D40" s="437" t="str">
        <f>QUANT!D40</f>
        <v>Imprimação com asfalto diluído</v>
      </c>
      <c r="E40" s="266" t="str">
        <f>QUANT!E40</f>
        <v>m²</v>
      </c>
      <c r="F40" s="267">
        <f>QUANT!F40</f>
        <v>2512.61</v>
      </c>
      <c r="G40" s="567">
        <v>0.22</v>
      </c>
      <c r="H40" s="567">
        <f>TRUNC((G40*(1+($D$4))),2)</f>
        <v>0.26</v>
      </c>
      <c r="I40" s="567">
        <f t="shared" ref="I40:I53" si="4">TRUNC(F40*H40,2)</f>
        <v>653.27</v>
      </c>
      <c r="J40" s="273"/>
      <c r="M40" s="265"/>
    </row>
    <row r="41" spans="1:13" s="260" customFormat="1" ht="15" customHeight="1">
      <c r="A41" s="269" t="str">
        <f>QUANT!A41</f>
        <v>5.8</v>
      </c>
      <c r="B41" s="266">
        <f>QUANT!B41</f>
        <v>4011353</v>
      </c>
      <c r="C41" s="266" t="str">
        <f>QUANT!C41</f>
        <v>SICRO</v>
      </c>
      <c r="D41" s="437" t="str">
        <f>QUANT!D41</f>
        <v>Pintura de ligação com emulsão RR-2C</v>
      </c>
      <c r="E41" s="266" t="str">
        <f>QUANT!E41</f>
        <v>m²</v>
      </c>
      <c r="F41" s="267">
        <f>QUANT!F41</f>
        <v>2512.61</v>
      </c>
      <c r="G41" s="567">
        <v>0.28999999999999998</v>
      </c>
      <c r="H41" s="567">
        <f>TRUNC((G41*(1+($D$4))),2)</f>
        <v>0.35</v>
      </c>
      <c r="I41" s="567">
        <f t="shared" si="4"/>
        <v>879.41</v>
      </c>
      <c r="J41" s="273"/>
      <c r="M41" s="265"/>
    </row>
    <row r="42" spans="1:13" s="260" customFormat="1" ht="15" customHeight="1">
      <c r="A42" s="269" t="str">
        <f>QUANT!A42</f>
        <v>5.9</v>
      </c>
      <c r="B42" s="266">
        <f>QUANT!B42</f>
        <v>4011463</v>
      </c>
      <c r="C42" s="266" t="str">
        <f>QUANT!C42</f>
        <v>SICRO</v>
      </c>
      <c r="D42" s="437" t="str">
        <f>QUANT!D42</f>
        <v>Concreto asfáltico - faixa C - areia e brita comerciais</v>
      </c>
      <c r="E42" s="266" t="str">
        <f>QUANT!E42</f>
        <v>t</v>
      </c>
      <c r="F42" s="267">
        <f>QUANT!F42</f>
        <v>241.21056000000002</v>
      </c>
      <c r="G42" s="567">
        <v>134.80000000000001</v>
      </c>
      <c r="H42" s="567">
        <f>TRUNC((G42*(1+($D$4))),2)</f>
        <v>162.69999999999999</v>
      </c>
      <c r="I42" s="567">
        <f t="shared" si="4"/>
        <v>39244.949999999997</v>
      </c>
      <c r="J42" s="273">
        <f>SUM(I34:I42)</f>
        <v>60551.81</v>
      </c>
      <c r="M42" s="265"/>
    </row>
    <row r="43" spans="1:13" s="260" customFormat="1" ht="12.75">
      <c r="A43" s="269"/>
      <c r="B43" s="266"/>
      <c r="C43" s="266"/>
      <c r="D43" s="307"/>
      <c r="E43" s="266"/>
      <c r="F43" s="267"/>
      <c r="G43" s="567"/>
      <c r="H43" s="567"/>
      <c r="I43" s="567"/>
      <c r="J43" s="273"/>
      <c r="M43" s="265"/>
    </row>
    <row r="44" spans="1:13" s="260" customFormat="1" ht="18" customHeight="1">
      <c r="A44" s="460" t="str">
        <f>QUANT!A44</f>
        <v>6.0</v>
      </c>
      <c r="B44" s="461" t="str">
        <f>QUANT!B44</f>
        <v>VI</v>
      </c>
      <c r="C44" s="461"/>
      <c r="D44" s="462" t="str">
        <f>QUANT!D44</f>
        <v>AQUISIÇÃO DE MATERIAL BETUMINOSO (IMPLANTAÇÃO)</v>
      </c>
      <c r="E44" s="463"/>
      <c r="F44" s="464"/>
      <c r="G44" s="567"/>
      <c r="H44" s="186"/>
      <c r="I44" s="186"/>
      <c r="J44" s="465"/>
      <c r="M44" s="265"/>
    </row>
    <row r="45" spans="1:13" s="260" customFormat="1" ht="15" customHeight="1">
      <c r="A45" s="447" t="str">
        <f>QUANT!A45</f>
        <v>6.1</v>
      </c>
      <c r="B45" s="443" t="str">
        <f>QUANT!B45</f>
        <v>COT 1</v>
      </c>
      <c r="C45" s="443" t="str">
        <f>QUANT!C45</f>
        <v>ANP</v>
      </c>
      <c r="D45" s="448" t="str">
        <f>QUANT!D45</f>
        <v>Fornecimento de asfalto diluído CM-30</v>
      </c>
      <c r="E45" s="443" t="str">
        <f>QUANT!E45</f>
        <v>t</v>
      </c>
      <c r="F45" s="445">
        <f>QUANT!F45</f>
        <v>3.0150000000000001</v>
      </c>
      <c r="G45" s="567">
        <f>'AQUISIÇ MAT BETUMISO'!V7</f>
        <v>4983.66</v>
      </c>
      <c r="H45" s="568">
        <f>TRUNC((G45*(1+($M$45))),2)</f>
        <v>5731.2</v>
      </c>
      <c r="I45" s="568">
        <f t="shared" si="4"/>
        <v>17279.560000000001</v>
      </c>
      <c r="J45" s="446"/>
      <c r="K45" s="565"/>
      <c r="L45" s="566" t="s">
        <v>63</v>
      </c>
      <c r="M45" s="495">
        <v>0.15</v>
      </c>
    </row>
    <row r="46" spans="1:13" s="260" customFormat="1" ht="15" customHeight="1">
      <c r="A46" s="447" t="str">
        <f>QUANT!A46</f>
        <v>6.2</v>
      </c>
      <c r="B46" s="443" t="str">
        <f>QUANT!B46</f>
        <v>COT 2</v>
      </c>
      <c r="C46" s="443" t="str">
        <f>QUANT!C46</f>
        <v>ANP</v>
      </c>
      <c r="D46" s="448" t="str">
        <f>QUANT!D46</f>
        <v>Fornecimento de emulsões asfáltica modificada por polímeros RR-2C</v>
      </c>
      <c r="E46" s="443" t="str">
        <f>QUANT!E46</f>
        <v>t</v>
      </c>
      <c r="F46" s="445">
        <f>QUANT!F46</f>
        <v>1.1299999999999999</v>
      </c>
      <c r="G46" s="567">
        <f>'AQUISIÇ MAT BETUMISO'!V8</f>
        <v>2380.9499999999998</v>
      </c>
      <c r="H46" s="568">
        <f>TRUNC((G46*(1+($M$46))),2)</f>
        <v>2738.09</v>
      </c>
      <c r="I46" s="568">
        <f t="shared" si="4"/>
        <v>3094.04</v>
      </c>
      <c r="J46" s="446"/>
      <c r="K46" s="565"/>
      <c r="L46" s="566" t="s">
        <v>63</v>
      </c>
      <c r="M46" s="495">
        <v>0.15</v>
      </c>
    </row>
    <row r="47" spans="1:13" s="260" customFormat="1" ht="15" customHeight="1">
      <c r="A47" s="447" t="str">
        <f>QUANT!A47</f>
        <v>6.3</v>
      </c>
      <c r="B47" s="443" t="str">
        <f>QUANT!B47</f>
        <v>COT 3</v>
      </c>
      <c r="C47" s="443" t="str">
        <f>QUANT!C47</f>
        <v>ANP</v>
      </c>
      <c r="D47" s="448" t="str">
        <f>QUANT!D47</f>
        <v>Fornecimento de Cimento Asfáltico CAP 50-70</v>
      </c>
      <c r="E47" s="443" t="str">
        <f>QUANT!E47</f>
        <v>t</v>
      </c>
      <c r="F47" s="445">
        <f>QUANT!F47</f>
        <v>15.250999999999999</v>
      </c>
      <c r="G47" s="567">
        <f>'AQUISIÇ MAT BETUMISO'!V6</f>
        <v>3373.17</v>
      </c>
      <c r="H47" s="568">
        <f>TRUNC((G47*(1+($M$47))),2)</f>
        <v>3879.14</v>
      </c>
      <c r="I47" s="568">
        <f t="shared" si="4"/>
        <v>59160.76</v>
      </c>
      <c r="J47" s="273">
        <f>SUM(I45:I47)</f>
        <v>79534.36</v>
      </c>
      <c r="K47" s="565"/>
      <c r="L47" s="566" t="s">
        <v>63</v>
      </c>
      <c r="M47" s="495">
        <v>0.15</v>
      </c>
    </row>
    <row r="48" spans="1:13" s="260" customFormat="1" ht="12.75">
      <c r="A48" s="447"/>
      <c r="B48" s="443"/>
      <c r="C48" s="443"/>
      <c r="D48" s="448"/>
      <c r="E48" s="443"/>
      <c r="F48" s="445"/>
      <c r="G48" s="567"/>
      <c r="H48" s="568"/>
      <c r="I48" s="568"/>
      <c r="J48" s="446"/>
      <c r="M48" s="265"/>
    </row>
    <row r="49" spans="1:13" s="260" customFormat="1" ht="18" customHeight="1">
      <c r="A49" s="460" t="str">
        <f>QUANT!A49</f>
        <v>7.0</v>
      </c>
      <c r="B49" s="461" t="str">
        <f>QUANT!B49</f>
        <v>VII</v>
      </c>
      <c r="C49" s="461">
        <f>QUANT!C49</f>
        <v>0</v>
      </c>
      <c r="D49" s="462" t="str">
        <f>QUANT!D49</f>
        <v>TRANSPORTE P/ PAVIMENTAÇÃO (IMPLANTAÇÃO)</v>
      </c>
      <c r="E49" s="463"/>
      <c r="F49" s="464"/>
      <c r="G49" s="567"/>
      <c r="H49" s="186"/>
      <c r="I49" s="186"/>
      <c r="J49" s="465"/>
      <c r="M49" s="265"/>
    </row>
    <row r="50" spans="1:13" s="260" customFormat="1" ht="15" customHeight="1">
      <c r="A50" s="447" t="str">
        <f>QUANT!A50</f>
        <v>7.1</v>
      </c>
      <c r="B50" s="443" t="str">
        <f>QUANT!B50</f>
        <v>COT 4</v>
      </c>
      <c r="C50" s="443" t="str">
        <f>QUANT!C50</f>
        <v>DNIT</v>
      </c>
      <c r="D50" s="448" t="str">
        <f>QUANT!D50</f>
        <v>Transporte de concreto asfáltico CAP 50-70</v>
      </c>
      <c r="E50" s="443" t="str">
        <f>QUANT!E50</f>
        <v>t</v>
      </c>
      <c r="F50" s="445">
        <f>QUANT!F50</f>
        <v>15.250999999999999</v>
      </c>
      <c r="G50" s="568">
        <v>50.92</v>
      </c>
      <c r="H50" s="568">
        <f>TRUNC((G50*(1+($D$5))),2)</f>
        <v>58.69</v>
      </c>
      <c r="I50" s="568">
        <f t="shared" si="4"/>
        <v>895.08</v>
      </c>
      <c r="J50" s="446"/>
      <c r="M50" s="265"/>
    </row>
    <row r="51" spans="1:13" s="260" customFormat="1" ht="15" customHeight="1">
      <c r="A51" s="447" t="str">
        <f>QUANT!A51</f>
        <v>7.2</v>
      </c>
      <c r="B51" s="443" t="str">
        <f>QUANT!B51</f>
        <v>COT 5</v>
      </c>
      <c r="C51" s="443" t="str">
        <f>QUANT!C51</f>
        <v>DNIT</v>
      </c>
      <c r="D51" s="448" t="str">
        <f>QUANT!D51</f>
        <v>Transporte de asfalto diluído CM-30</v>
      </c>
      <c r="E51" s="443" t="str">
        <f>QUANT!E51</f>
        <v>t</v>
      </c>
      <c r="F51" s="445">
        <f>QUANT!F51</f>
        <v>3.0150000000000001</v>
      </c>
      <c r="G51" s="568">
        <v>49.09</v>
      </c>
      <c r="H51" s="568">
        <f>TRUNC((G51*(1+($D$5))),2)</f>
        <v>56.58</v>
      </c>
      <c r="I51" s="568">
        <f t="shared" si="4"/>
        <v>170.58</v>
      </c>
      <c r="J51" s="446"/>
      <c r="M51" s="265"/>
    </row>
    <row r="52" spans="1:13" s="260" customFormat="1" ht="15" customHeight="1">
      <c r="A52" s="447" t="str">
        <f>QUANT!A52</f>
        <v>7.3</v>
      </c>
      <c r="B52" s="443" t="str">
        <f>QUANT!B52</f>
        <v>COT 6</v>
      </c>
      <c r="C52" s="443" t="str">
        <f>QUANT!C52</f>
        <v>DNIT</v>
      </c>
      <c r="D52" s="448" t="str">
        <f>QUANT!D52</f>
        <v>Transporte de emulsão asfáltica RR-2C</v>
      </c>
      <c r="E52" s="443" t="str">
        <f>QUANT!E52</f>
        <v>t</v>
      </c>
      <c r="F52" s="445">
        <f>QUANT!F52</f>
        <v>1.1299999999999999</v>
      </c>
      <c r="G52" s="568">
        <v>49.09</v>
      </c>
      <c r="H52" s="568">
        <f>TRUNC((G52*(1+($D$5))),2)</f>
        <v>56.58</v>
      </c>
      <c r="I52" s="568">
        <f t="shared" si="4"/>
        <v>63.93</v>
      </c>
      <c r="J52" s="446"/>
      <c r="M52" s="265"/>
    </row>
    <row r="53" spans="1:13" s="260" customFormat="1" ht="15" customHeight="1">
      <c r="A53" s="447" t="str">
        <f>QUANT!A53</f>
        <v>7.4</v>
      </c>
      <c r="B53" s="443">
        <f>QUANT!B53</f>
        <v>5914389</v>
      </c>
      <c r="C53" s="443" t="str">
        <f>QUANT!C53</f>
        <v>SICRO</v>
      </c>
      <c r="D53" s="448" t="str">
        <f>QUANT!D53</f>
        <v>Transporte com caminhão basculante de 10 m³ - rodovia pavimentada</v>
      </c>
      <c r="E53" s="443" t="str">
        <f>QUANT!E53</f>
        <v>txkm</v>
      </c>
      <c r="F53" s="445">
        <f>QUANT!F53</f>
        <v>41359.460157028159</v>
      </c>
      <c r="G53" s="567">
        <v>0.52</v>
      </c>
      <c r="H53" s="568">
        <f>TRUNC((G53*(1+($D$4))),2)</f>
        <v>0.62</v>
      </c>
      <c r="I53" s="568">
        <f t="shared" si="4"/>
        <v>25642.86</v>
      </c>
      <c r="J53" s="273">
        <f>SUM(I50:I53)</f>
        <v>26772.45</v>
      </c>
      <c r="M53" s="265"/>
    </row>
    <row r="54" spans="1:13" s="280" customFormat="1" ht="12.75">
      <c r="A54" s="269"/>
      <c r="B54" s="275"/>
      <c r="C54" s="275"/>
      <c r="D54" s="276"/>
      <c r="E54" s="266"/>
      <c r="F54" s="267"/>
      <c r="G54" s="567"/>
      <c r="H54" s="567"/>
      <c r="I54" s="567"/>
      <c r="J54" s="279"/>
      <c r="M54" s="265"/>
    </row>
    <row r="55" spans="1:13" s="280" customFormat="1" ht="18" customHeight="1">
      <c r="A55" s="452" t="str">
        <f>QUANT!A55</f>
        <v>8.0</v>
      </c>
      <c r="B55" s="453" t="str">
        <f>QUANT!B55</f>
        <v>VIII</v>
      </c>
      <c r="C55" s="453"/>
      <c r="D55" s="454" t="str">
        <f>QUANT!D55</f>
        <v>SINALIZAÇÃO HORIZONTAL/VERTICAL</v>
      </c>
      <c r="E55" s="451"/>
      <c r="F55" s="455"/>
      <c r="G55" s="567"/>
      <c r="H55" s="88"/>
      <c r="I55" s="88"/>
      <c r="J55" s="459"/>
      <c r="M55" s="265"/>
    </row>
    <row r="56" spans="1:13" s="260" customFormat="1" ht="24">
      <c r="A56" s="269" t="str">
        <f>QUANT!A56</f>
        <v>8.1</v>
      </c>
      <c r="B56" s="266" t="str">
        <f>QUANT!B56</f>
        <v>COMP. 8.1</v>
      </c>
      <c r="C56" s="266" t="str">
        <f>QUANT!C56</f>
        <v>Composição</v>
      </c>
      <c r="D56" s="450" t="str">
        <f>QUANT!D56</f>
        <v>Sinalizacao horizontal com tinta retrorrefletiva a base de resina acrilica  c/ micro esfera de vidro</v>
      </c>
      <c r="E56" s="266" t="str">
        <f>QUANT!E56</f>
        <v>m²</v>
      </c>
      <c r="F56" s="267">
        <f>QUANT!F56</f>
        <v>130.4</v>
      </c>
      <c r="G56" s="567">
        <v>14.28</v>
      </c>
      <c r="H56" s="567">
        <f>TRUNC((G56*(1+($D$4))),2)</f>
        <v>17.23</v>
      </c>
      <c r="I56" s="567">
        <f>TRUNC(F56*H56,2)</f>
        <v>2246.79</v>
      </c>
      <c r="J56" s="279"/>
      <c r="M56" s="265"/>
    </row>
    <row r="57" spans="1:13" s="260" customFormat="1" ht="15" customHeight="1">
      <c r="A57" s="269" t="str">
        <f>QUANT!A57</f>
        <v>8.2</v>
      </c>
      <c r="B57" s="266">
        <f>QUANT!B57</f>
        <v>5213405</v>
      </c>
      <c r="C57" s="266" t="str">
        <f>QUANT!C57</f>
        <v>SICRO 3</v>
      </c>
      <c r="D57" s="450" t="str">
        <f>QUANT!D57</f>
        <v>Pintura de setas e zebrados - tinta base acrílica - espessura de 0,6 mm</v>
      </c>
      <c r="E57" s="266" t="str">
        <f>QUANT!E57</f>
        <v>m²</v>
      </c>
      <c r="F57" s="267">
        <f>QUANT!F57</f>
        <v>15.27</v>
      </c>
      <c r="G57" s="567">
        <v>39.270000000000003</v>
      </c>
      <c r="H57" s="567">
        <f>TRUNC((G57*(1+($D$4))),2)</f>
        <v>47.39</v>
      </c>
      <c r="I57" s="567">
        <f>TRUNC(F57*H57,2)</f>
        <v>723.64</v>
      </c>
      <c r="J57" s="279"/>
      <c r="M57" s="265"/>
    </row>
    <row r="58" spans="1:13" s="260" customFormat="1" ht="24">
      <c r="A58" s="269" t="str">
        <f>QUANT!A58</f>
        <v>8.3</v>
      </c>
      <c r="B58" s="266">
        <f>QUANT!B58</f>
        <v>5213417</v>
      </c>
      <c r="C58" s="266" t="str">
        <f>QUANT!C58</f>
        <v>SICRO 3</v>
      </c>
      <c r="D58" s="450" t="str">
        <f>QUANT!D58</f>
        <v>Confecção de placa em aço nº 16 galvanizado, com película retrorrefletiva tipo I + III</v>
      </c>
      <c r="E58" s="266" t="str">
        <f>QUANT!E58</f>
        <v>m²</v>
      </c>
      <c r="F58" s="267">
        <f>QUANT!F58</f>
        <v>1.4149999999999998</v>
      </c>
      <c r="G58" s="567">
        <v>345.68</v>
      </c>
      <c r="H58" s="567">
        <f>TRUNC((G58*(1+($D$4))),2)</f>
        <v>417.23</v>
      </c>
      <c r="I58" s="567">
        <f>TRUNC(F58*H58,2)</f>
        <v>590.38</v>
      </c>
      <c r="J58" s="273"/>
      <c r="M58" s="265"/>
    </row>
    <row r="59" spans="1:13" s="260" customFormat="1" ht="24">
      <c r="A59" s="269" t="str">
        <f>QUANT!A59</f>
        <v>8.4</v>
      </c>
      <c r="B59" s="266">
        <f>QUANT!B59</f>
        <v>5213855</v>
      </c>
      <c r="C59" s="266" t="str">
        <f>QUANT!C59</f>
        <v>SICRO 3</v>
      </c>
      <c r="D59" s="450" t="str">
        <f>QUANT!D59</f>
        <v>Fornecimento e implantação de suporte metálico galvanizado para placa de regulamentação - R1 - lado de 0,248 m</v>
      </c>
      <c r="E59" s="266" t="str">
        <f>QUANT!E59</f>
        <v>unid</v>
      </c>
      <c r="F59" s="267">
        <f>QUANT!F59</f>
        <v>6</v>
      </c>
      <c r="G59" s="567">
        <v>251.19</v>
      </c>
      <c r="H59" s="567">
        <f>TRUNC((G59*(1+($D$4))),2)</f>
        <v>303.18</v>
      </c>
      <c r="I59" s="567">
        <f>TRUNC(F59*H59,2)</f>
        <v>1819.08</v>
      </c>
      <c r="J59" s="273">
        <f>SUM(I56:I59)</f>
        <v>5379.8899999999994</v>
      </c>
      <c r="K59" s="510"/>
      <c r="L59" s="510"/>
      <c r="M59" s="265"/>
    </row>
    <row r="60" spans="1:13" s="260" customFormat="1" ht="12.75">
      <c r="A60" s="269"/>
      <c r="B60" s="275"/>
      <c r="C60" s="275"/>
      <c r="D60" s="276"/>
      <c r="E60" s="266"/>
      <c r="F60" s="267"/>
      <c r="G60" s="567"/>
      <c r="H60" s="567"/>
      <c r="I60" s="567"/>
      <c r="J60" s="279"/>
      <c r="M60" s="265"/>
    </row>
    <row r="61" spans="1:13" s="260" customFormat="1" ht="18" customHeight="1">
      <c r="A61" s="452" t="str">
        <f>QUANT!A61</f>
        <v>9.0</v>
      </c>
      <c r="B61" s="453" t="str">
        <f>QUANT!B61</f>
        <v>IX</v>
      </c>
      <c r="C61" s="453"/>
      <c r="D61" s="454" t="str">
        <f>QUANT!D61</f>
        <v>OBRAS COMPLEMENTARES</v>
      </c>
      <c r="E61" s="451"/>
      <c r="F61" s="455"/>
      <c r="G61" s="567"/>
      <c r="H61" s="88"/>
      <c r="I61" s="88"/>
      <c r="J61" s="459"/>
      <c r="M61" s="265"/>
    </row>
    <row r="62" spans="1:13" s="260" customFormat="1" ht="24">
      <c r="A62" s="269" t="str">
        <f>QUANT!A62</f>
        <v>9.1</v>
      </c>
      <c r="B62" s="266">
        <f>QUANT!B62</f>
        <v>94267</v>
      </c>
      <c r="C62" s="266" t="str">
        <f>QUANT!C62</f>
        <v>SINAPI</v>
      </c>
      <c r="D62" s="450" t="str">
        <f>QUANT!D62</f>
        <v>Guia (meio-fio) e sarjeta conjugados de concreto, moldada i n loco em trecho
reto com extrusora, guia 13 cm base x 22 cm altura. af_06/2016</v>
      </c>
      <c r="E62" s="266" t="str">
        <f>QUANT!E62</f>
        <v>m</v>
      </c>
      <c r="F62" s="267">
        <f>QUANT!F62</f>
        <v>737.91000000000008</v>
      </c>
      <c r="G62" s="567">
        <v>47.64</v>
      </c>
      <c r="H62" s="567">
        <f>TRUNC((G62*(1+($D$4))),2)</f>
        <v>57.5</v>
      </c>
      <c r="I62" s="567">
        <f>TRUNC(F62*H62,2)</f>
        <v>42429.82</v>
      </c>
      <c r="J62" s="279"/>
      <c r="M62" s="265"/>
    </row>
    <row r="63" spans="1:13" s="260" customFormat="1" ht="24">
      <c r="A63" s="269" t="str">
        <f>QUANT!A63</f>
        <v>9.2</v>
      </c>
      <c r="B63" s="266">
        <f>QUANT!B63</f>
        <v>94268</v>
      </c>
      <c r="C63" s="266" t="str">
        <f>QUANT!C63</f>
        <v>SINAPI</v>
      </c>
      <c r="D63" s="450" t="str">
        <f>QUANT!D63</f>
        <v>Guia (meio-fio) e sarjeta conjugados de concreto, moldada i n loco em trecho
curvo com extrusora, guia 13 cm base x 22 cm altura. af_06/2016</v>
      </c>
      <c r="E63" s="266" t="str">
        <f>QUANT!E63</f>
        <v>m</v>
      </c>
      <c r="F63" s="267">
        <f>QUANT!F63</f>
        <v>42.09</v>
      </c>
      <c r="G63" s="567">
        <v>51.22</v>
      </c>
      <c r="H63" s="567">
        <f>TRUNC((G63*(1+($D$4))),2)</f>
        <v>61.82</v>
      </c>
      <c r="I63" s="567">
        <f>TRUNC(F63*H63,2)</f>
        <v>2602</v>
      </c>
      <c r="J63" s="273"/>
      <c r="M63" s="265"/>
    </row>
    <row r="64" spans="1:13" s="260" customFormat="1" ht="15" customHeight="1">
      <c r="A64" s="269" t="str">
        <f>QUANT!A64</f>
        <v>9.3</v>
      </c>
      <c r="B64" s="266" t="str">
        <f>QUANT!B64</f>
        <v>COMP. 9.3</v>
      </c>
      <c r="C64" s="266" t="str">
        <f>QUANT!C64</f>
        <v>Composição</v>
      </c>
      <c r="D64" s="450" t="str">
        <f>QUANT!D64</f>
        <v>Placa esmaltada para identificação NR de Rua, dimensões 45X25cm</v>
      </c>
      <c r="E64" s="266" t="str">
        <f>QUANT!E64</f>
        <v>unid</v>
      </c>
      <c r="F64" s="267">
        <f>QUANT!F64</f>
        <v>6</v>
      </c>
      <c r="G64" s="567">
        <v>81.31</v>
      </c>
      <c r="H64" s="567">
        <f>TRUNC((G64*(1+($D$4))),2)</f>
        <v>98.14</v>
      </c>
      <c r="I64" s="567">
        <f>TRUNC(F64*H64,2)</f>
        <v>588.84</v>
      </c>
      <c r="J64" s="273"/>
      <c r="M64" s="265"/>
    </row>
    <row r="65" spans="1:13" s="260" customFormat="1" ht="24">
      <c r="A65" s="269" t="str">
        <f>QUANT!A65</f>
        <v>9.4</v>
      </c>
      <c r="B65" s="266">
        <f>QUANT!B65</f>
        <v>94991</v>
      </c>
      <c r="C65" s="266" t="str">
        <f>QUANT!C65</f>
        <v>SINAPI</v>
      </c>
      <c r="D65" s="450" t="str">
        <f>QUANT!D65</f>
        <v>Execução de passeio (calçada) ou piso de concreto com concreto moldado in loco, usinado, acabamento convencional, não armado. Af_07/2016</v>
      </c>
      <c r="E65" s="266" t="str">
        <f>QUANT!E65</f>
        <v>m3</v>
      </c>
      <c r="F65" s="442">
        <f>QUANT!F65</f>
        <v>94.223039999999997</v>
      </c>
      <c r="G65" s="567">
        <v>684.85</v>
      </c>
      <c r="H65" s="567">
        <f>TRUNC((G65*(1+($D$4))),2)</f>
        <v>826.61</v>
      </c>
      <c r="I65" s="567">
        <f>TRUNC(F65*H65,2)</f>
        <v>77885.7</v>
      </c>
      <c r="J65" s="273"/>
      <c r="M65" s="265"/>
    </row>
    <row r="66" spans="1:13" s="260" customFormat="1" ht="15.75" customHeight="1">
      <c r="A66" s="269" t="str">
        <f>QUANT!A66</f>
        <v>9.5</v>
      </c>
      <c r="B66" s="266">
        <f>QUANT!B66</f>
        <v>101094</v>
      </c>
      <c r="C66" s="266" t="str">
        <f>QUANT!C66</f>
        <v>SINAPI</v>
      </c>
      <c r="D66" s="450" t="str">
        <f>QUANT!D66</f>
        <v>Piso podotátil, direcional ou alerta, assentado sobre argamassa AF 05/2020</v>
      </c>
      <c r="E66" s="266" t="str">
        <f>QUANT!E66</f>
        <v>m</v>
      </c>
      <c r="F66" s="442">
        <f>QUANT!F66</f>
        <v>780.00000000000011</v>
      </c>
      <c r="G66" s="567">
        <v>145.59</v>
      </c>
      <c r="H66" s="567">
        <f>TRUNC((G66*(1+($D$4))),2)</f>
        <v>175.72</v>
      </c>
      <c r="I66" s="567">
        <f>TRUNC(F66*H66,2)</f>
        <v>137061.6</v>
      </c>
      <c r="J66" s="273">
        <f>SUM(I62:I66)</f>
        <v>260567.96</v>
      </c>
      <c r="M66" s="265"/>
    </row>
    <row r="67" spans="1:13" s="260" customFormat="1" ht="12.75">
      <c r="A67" s="269"/>
      <c r="B67" s="275"/>
      <c r="C67" s="275"/>
      <c r="D67" s="276"/>
      <c r="E67" s="266"/>
      <c r="F67" s="267"/>
      <c r="G67" s="567"/>
      <c r="H67" s="567"/>
      <c r="I67" s="567"/>
      <c r="J67" s="279"/>
      <c r="M67" s="265"/>
    </row>
    <row r="68" spans="1:13" s="260" customFormat="1" ht="18" customHeight="1">
      <c r="A68" s="452" t="str">
        <f>QUANT!A68</f>
        <v>10.0</v>
      </c>
      <c r="B68" s="453" t="str">
        <f>QUANT!B68</f>
        <v>X</v>
      </c>
      <c r="C68" s="453"/>
      <c r="D68" s="454" t="str">
        <f>QUANT!D68</f>
        <v>DRENAGEM</v>
      </c>
      <c r="E68" s="451"/>
      <c r="F68" s="455"/>
      <c r="G68" s="567"/>
      <c r="H68" s="88"/>
      <c r="I68" s="88"/>
      <c r="J68" s="458"/>
      <c r="M68" s="265"/>
    </row>
    <row r="69" spans="1:13" s="260" customFormat="1" ht="15" customHeight="1">
      <c r="A69" s="269" t="str">
        <f>QUANT!A69</f>
        <v>10.1</v>
      </c>
      <c r="B69" s="266">
        <f>QUANT!B69</f>
        <v>5213417</v>
      </c>
      <c r="C69" s="266" t="str">
        <f>QUANT!C69</f>
        <v>SICRO 03</v>
      </c>
      <c r="D69" s="450" t="str">
        <f>QUANT!D69</f>
        <v>Confecção de placa em aço nº 16 galvanizado, com película retrorrefletiva tipo I + III</v>
      </c>
      <c r="E69" s="266" t="str">
        <f>QUANT!E69</f>
        <v>m²</v>
      </c>
      <c r="F69" s="267">
        <f>QUANT!F69</f>
        <v>20</v>
      </c>
      <c r="G69" s="567">
        <v>345.68</v>
      </c>
      <c r="H69" s="567">
        <f t="shared" ref="H69:H79" si="5">TRUNC((G69*(1+($D$4))),2)</f>
        <v>417.23</v>
      </c>
      <c r="I69" s="567">
        <f t="shared" ref="I69:I79" si="6">TRUNC(F69*H69,2)</f>
        <v>8344.6</v>
      </c>
      <c r="J69" s="273"/>
      <c r="M69" s="265"/>
    </row>
    <row r="70" spans="1:13" s="281" customFormat="1" ht="24">
      <c r="A70" s="269" t="str">
        <f>QUANT!A70</f>
        <v>10.2</v>
      </c>
      <c r="B70" s="266" t="str">
        <f>QUANT!B70</f>
        <v>COMP. 10.2</v>
      </c>
      <c r="C70" s="266" t="str">
        <f>QUANT!C70</f>
        <v>Composição</v>
      </c>
      <c r="D70" s="450" t="str">
        <f>QUANT!D70</f>
        <v>Isolamento de obra com tela plástica com malha de 5mm e estrutura de madeira pontaleteada</v>
      </c>
      <c r="E70" s="266" t="str">
        <f>QUANT!E70</f>
        <v>m²</v>
      </c>
      <c r="F70" s="267">
        <f>QUANT!F70</f>
        <v>10</v>
      </c>
      <c r="G70" s="567">
        <v>21.14</v>
      </c>
      <c r="H70" s="567">
        <f t="shared" si="5"/>
        <v>25.51</v>
      </c>
      <c r="I70" s="567">
        <f t="shared" si="6"/>
        <v>255.1</v>
      </c>
      <c r="J70" s="273"/>
      <c r="M70" s="265"/>
    </row>
    <row r="71" spans="1:13" s="260" customFormat="1" ht="15" customHeight="1">
      <c r="A71" s="269" t="str">
        <f>QUANT!A71</f>
        <v>10.3</v>
      </c>
      <c r="B71" s="266" t="str">
        <f>QUANT!B71</f>
        <v>COMP. 10.3</v>
      </c>
      <c r="C71" s="266" t="str">
        <f>QUANT!C71</f>
        <v>Composição</v>
      </c>
      <c r="D71" s="450" t="str">
        <f>QUANT!D71</f>
        <v>Passadicos de madeira para pedestres</v>
      </c>
      <c r="E71" s="266" t="str">
        <f>QUANT!E71</f>
        <v>m²</v>
      </c>
      <c r="F71" s="267">
        <f>QUANT!F71</f>
        <v>10</v>
      </c>
      <c r="G71" s="567">
        <v>61.03</v>
      </c>
      <c r="H71" s="567">
        <f t="shared" si="5"/>
        <v>73.66</v>
      </c>
      <c r="I71" s="567">
        <f t="shared" si="6"/>
        <v>736.6</v>
      </c>
      <c r="J71" s="273"/>
      <c r="M71" s="265"/>
    </row>
    <row r="72" spans="1:13" s="260" customFormat="1" ht="48">
      <c r="A72" s="269" t="str">
        <f>QUANT!A72</f>
        <v>10.4</v>
      </c>
      <c r="B72" s="266">
        <f>QUANT!B72</f>
        <v>90091</v>
      </c>
      <c r="C72" s="266" t="str">
        <f>QUANT!C72</f>
        <v>SINAPI</v>
      </c>
      <c r="D72" s="450" t="str">
        <f>QUANT!D72</f>
        <v>Escavação mecanizada de vala com prof. até 1,5 m (média entre montante e jusante/uma composição por trecho), com retroescavadeira (0,26 m3/88 hp), larg. de 1,5 m a 2,5 m, em solo de 1a categoria, em locais com baixo nível de interferência. af_01/2015</v>
      </c>
      <c r="E72" s="266" t="str">
        <f>QUANT!E72</f>
        <v>m³</v>
      </c>
      <c r="F72" s="441">
        <f>QUANT!F72</f>
        <v>834.27044999999976</v>
      </c>
      <c r="G72" s="567">
        <v>4.32</v>
      </c>
      <c r="H72" s="567">
        <f t="shared" si="5"/>
        <v>5.21</v>
      </c>
      <c r="I72" s="567">
        <f t="shared" si="6"/>
        <v>4346.54</v>
      </c>
      <c r="J72" s="273"/>
      <c r="M72" s="265"/>
    </row>
    <row r="73" spans="1:13" s="260" customFormat="1" ht="24">
      <c r="A73" s="269" t="str">
        <f>QUANT!A73</f>
        <v>10.5</v>
      </c>
      <c r="B73" s="266" t="str">
        <f>QUANT!B73</f>
        <v>COMP. 10.5</v>
      </c>
      <c r="C73" s="266" t="str">
        <f>QUANT!C73</f>
        <v>Composição</v>
      </c>
      <c r="D73" s="450" t="str">
        <f>QUANT!D73</f>
        <v>Escavação mecânica de vala em material de 2A. cat de 2,01 até 4,00 M de profundidade com utilização de escavadeira hidráulica</v>
      </c>
      <c r="E73" s="266" t="str">
        <f>QUANT!E73</f>
        <v>m³</v>
      </c>
      <c r="F73" s="267">
        <f>QUANT!F73</f>
        <v>278.09014999999994</v>
      </c>
      <c r="G73" s="567">
        <v>12.91</v>
      </c>
      <c r="H73" s="567">
        <f t="shared" si="5"/>
        <v>15.58</v>
      </c>
      <c r="I73" s="567">
        <f t="shared" si="6"/>
        <v>4332.6400000000003</v>
      </c>
      <c r="J73" s="273"/>
      <c r="M73" s="265"/>
    </row>
    <row r="74" spans="1:13" s="260" customFormat="1" ht="24">
      <c r="A74" s="447" t="str">
        <f>QUANT!A74</f>
        <v>10.6</v>
      </c>
      <c r="B74" s="443" t="str">
        <f>QUANT!B74</f>
        <v>COMP. 10.6</v>
      </c>
      <c r="C74" s="443" t="str">
        <f>QUANT!C74</f>
        <v>Composição</v>
      </c>
      <c r="D74" s="448" t="str">
        <f>QUANT!D74</f>
        <v>Lastro de vala com preparo de fundo, largura menor que 1,5 m, com camada de brita, lançamento manual, em local com nível baixo de interferência. Af_06/2016</v>
      </c>
      <c r="E74" s="443" t="str">
        <f>QUANT!E74</f>
        <v>m³</v>
      </c>
      <c r="F74" s="487">
        <f>QUANT!F74</f>
        <v>98.935500000000005</v>
      </c>
      <c r="G74" s="567">
        <v>213.78</v>
      </c>
      <c r="H74" s="568">
        <f t="shared" si="5"/>
        <v>258.02999999999997</v>
      </c>
      <c r="I74" s="568">
        <f t="shared" si="6"/>
        <v>25528.32</v>
      </c>
      <c r="J74" s="446"/>
      <c r="M74" s="265"/>
    </row>
    <row r="75" spans="1:13" s="260" customFormat="1" ht="48">
      <c r="A75" s="269" t="str">
        <f>QUANT!A75</f>
        <v>10.7</v>
      </c>
      <c r="B75" s="266">
        <f>QUANT!B75</f>
        <v>93381</v>
      </c>
      <c r="C75" s="266" t="str">
        <f>QUANT!C75</f>
        <v>SINAPI</v>
      </c>
      <c r="D75" s="450" t="str">
        <f>QUANT!D75</f>
        <v>Reaterro mecanizado de vala com retroescavadeira (capacidade da caçamb a da retro: 0,26 m³ / potência: 88 hp), largura de 0,8 a 1,5 m, profun didade de 1,5 a 3,0 m, com solo (sem substituição) de 1ª categoria em locais com baixo nível de interferência. af_04/2016</v>
      </c>
      <c r="E75" s="266" t="str">
        <f>QUANT!E75</f>
        <v>m³</v>
      </c>
      <c r="F75" s="267">
        <f>QUANT!F75</f>
        <v>895.36977760000002</v>
      </c>
      <c r="G75" s="567">
        <v>7.22</v>
      </c>
      <c r="H75" s="567">
        <f t="shared" si="5"/>
        <v>8.7100000000000009</v>
      </c>
      <c r="I75" s="567">
        <f t="shared" si="6"/>
        <v>7798.67</v>
      </c>
      <c r="J75" s="273"/>
      <c r="M75" s="265"/>
    </row>
    <row r="76" spans="1:13" s="260" customFormat="1" ht="24">
      <c r="A76" s="269" t="str">
        <f>QUANT!A76</f>
        <v>10.8</v>
      </c>
      <c r="B76" s="266" t="str">
        <f>QUANT!B76</f>
        <v>COMP. 10.8</v>
      </c>
      <c r="C76" s="266" t="str">
        <f>QUANT!C76</f>
        <v>Composição</v>
      </c>
      <c r="D76" s="450" t="str">
        <f>QUANT!D76</f>
        <v>Carga e descarga mecânica de solo utilizando caminhão basculante 5m³ /11t e pa carregadeira sobre pneus * 105 hp * cap. 1,72m3</v>
      </c>
      <c r="E76" s="266" t="str">
        <f>QUANT!E76</f>
        <v>m³</v>
      </c>
      <c r="F76" s="267">
        <f>TRUNC(QUANT!F76,3)</f>
        <v>216.99</v>
      </c>
      <c r="G76" s="567">
        <v>1.82</v>
      </c>
      <c r="H76" s="567">
        <f>TRUNC((G76*(1+($D$4))),2)</f>
        <v>2.19</v>
      </c>
      <c r="I76" s="567">
        <f>TRUNC(F76*H76,2)</f>
        <v>475.2</v>
      </c>
      <c r="J76" s="273"/>
      <c r="M76" s="265"/>
    </row>
    <row r="77" spans="1:13" s="260" customFormat="1" ht="12.75">
      <c r="A77" s="269" t="str">
        <f>QUANT!A77</f>
        <v>10.9</v>
      </c>
      <c r="B77" s="266">
        <f>QUANT!B77</f>
        <v>5914389</v>
      </c>
      <c r="C77" s="266" t="str">
        <f>QUANT!C77</f>
        <v>SICRO</v>
      </c>
      <c r="D77" s="450" t="str">
        <f>QUANT!D77</f>
        <v>Transporte com caminhão basculante de 10 m³ - rodovia pavimentada</v>
      </c>
      <c r="E77" s="266" t="str">
        <f>QUANT!E77</f>
        <v>txkm</v>
      </c>
      <c r="F77" s="267">
        <f>QUANT!F77</f>
        <v>7160.6971391999914</v>
      </c>
      <c r="G77" s="567">
        <v>1.2</v>
      </c>
      <c r="H77" s="567">
        <f>TRUNC((G77*(1+($D$4))),2)</f>
        <v>1.44</v>
      </c>
      <c r="I77" s="567">
        <f t="shared" si="6"/>
        <v>10311.4</v>
      </c>
      <c r="J77" s="273"/>
      <c r="M77" s="265"/>
    </row>
    <row r="78" spans="1:13" s="260" customFormat="1" ht="24">
      <c r="A78" s="269" t="str">
        <f>QUANT!A78</f>
        <v>10.10</v>
      </c>
      <c r="B78" s="266" t="str">
        <f>QUANT!B78</f>
        <v>COMP. 10.10</v>
      </c>
      <c r="C78" s="266" t="str">
        <f>QUANT!C78</f>
        <v>Composição</v>
      </c>
      <c r="D78" s="450" t="str">
        <f>QUANT!D78</f>
        <v>Espalhamento de material em bota fora, com utilizacao de trator de esteiras de 165 HP</v>
      </c>
      <c r="E78" s="266" t="str">
        <f>QUANT!E78</f>
        <v>m³</v>
      </c>
      <c r="F78" s="267">
        <f>QUANT!F78</f>
        <v>216.99082239999973</v>
      </c>
      <c r="G78" s="567">
        <v>0.98</v>
      </c>
      <c r="H78" s="567">
        <f t="shared" si="5"/>
        <v>1.18</v>
      </c>
      <c r="I78" s="567">
        <f t="shared" si="6"/>
        <v>256.04000000000002</v>
      </c>
      <c r="J78" s="273"/>
      <c r="M78" s="265"/>
    </row>
    <row r="79" spans="1:13" s="260" customFormat="1" ht="36">
      <c r="A79" s="269" t="str">
        <f>QUANT!A79</f>
        <v>10.11</v>
      </c>
      <c r="B79" s="266" t="str">
        <f>QUANT!B79</f>
        <v>COMP. 10.11</v>
      </c>
      <c r="C79" s="266" t="str">
        <f>QUANT!C79</f>
        <v>Composição</v>
      </c>
      <c r="D79" s="450" t="str">
        <f>QUANT!D79</f>
        <v>Escoramento de vala, tipo pontaleteamento, com profundidade de 0 a 1,5 m, largura maior ou igual a 1,5 m e menor que 2,5 m, em local com nível alto de interferência. af_06/2016</v>
      </c>
      <c r="E79" s="266" t="str">
        <f>QUANT!E79</f>
        <v>m²</v>
      </c>
      <c r="F79" s="267">
        <f>QUANT!F79</f>
        <v>15</v>
      </c>
      <c r="G79" s="567">
        <v>23.59</v>
      </c>
      <c r="H79" s="567">
        <f t="shared" si="5"/>
        <v>28.47</v>
      </c>
      <c r="I79" s="567">
        <f t="shared" si="6"/>
        <v>427.05</v>
      </c>
      <c r="J79" s="273">
        <f>SUM(I69:I79)</f>
        <v>62812.160000000003</v>
      </c>
      <c r="M79" s="265"/>
    </row>
    <row r="80" spans="1:13" s="260" customFormat="1" ht="12.75">
      <c r="A80" s="269"/>
      <c r="B80" s="266"/>
      <c r="C80" s="266"/>
      <c r="D80" s="272"/>
      <c r="E80" s="266"/>
      <c r="F80" s="267"/>
      <c r="G80" s="567"/>
      <c r="H80" s="567"/>
      <c r="I80" s="567"/>
      <c r="J80" s="273"/>
      <c r="M80" s="265"/>
    </row>
    <row r="81" spans="1:13" s="260" customFormat="1" ht="18" customHeight="1">
      <c r="A81" s="452" t="str">
        <f>QUANT!A81</f>
        <v>11.0</v>
      </c>
      <c r="B81" s="453" t="str">
        <f>QUANT!B81</f>
        <v>XI</v>
      </c>
      <c r="C81" s="453"/>
      <c r="D81" s="466" t="str">
        <f>QUANT!D81</f>
        <v>FORNECIMENTO DE TUBOS TIPO PA-1</v>
      </c>
      <c r="E81" s="451"/>
      <c r="F81" s="455"/>
      <c r="G81" s="567"/>
      <c r="H81" s="88"/>
      <c r="I81" s="88"/>
      <c r="J81" s="458"/>
      <c r="M81" s="265"/>
    </row>
    <row r="82" spans="1:13" s="260" customFormat="1" ht="24">
      <c r="A82" s="269" t="str">
        <f>QUANT!A82</f>
        <v>11.1</v>
      </c>
      <c r="B82" s="451">
        <f>QUANT!B82</f>
        <v>7725</v>
      </c>
      <c r="C82" s="266" t="str">
        <f>QUANT!C82</f>
        <v>SINAPI</v>
      </c>
      <c r="D82" s="450" t="str">
        <f>QUANT!D82</f>
        <v>Tubo concreto armado, classe PA-1, pb, dn 600 mm, para aguas pluviais (nbr 8890)</v>
      </c>
      <c r="E82" s="266" t="str">
        <f>QUANT!E82</f>
        <v>m</v>
      </c>
      <c r="F82" s="267">
        <f>QUANT!F82</f>
        <v>60</v>
      </c>
      <c r="G82" s="567">
        <v>198.7</v>
      </c>
      <c r="H82" s="567">
        <f>TRUNC((G82*(1+($D$5))),2)</f>
        <v>229.04</v>
      </c>
      <c r="I82" s="567">
        <f>TRUNC(F82*H82,2)</f>
        <v>13742.4</v>
      </c>
      <c r="J82" s="273"/>
      <c r="M82" s="265"/>
    </row>
    <row r="83" spans="1:13" s="260" customFormat="1" ht="24">
      <c r="A83" s="269" t="str">
        <f>QUANT!A83</f>
        <v>11.2</v>
      </c>
      <c r="B83" s="451">
        <f>QUANT!B83</f>
        <v>7750</v>
      </c>
      <c r="C83" s="266" t="str">
        <f>QUANT!C83</f>
        <v>SINAPI</v>
      </c>
      <c r="D83" s="450" t="str">
        <f>QUANT!D83</f>
        <v>Tubo concreto armado, classe PA-1, pb, dn 800 mm, para aguas pluviais (nbr 8890)</v>
      </c>
      <c r="E83" s="266" t="str">
        <f>QUANT!E83</f>
        <v>m</v>
      </c>
      <c r="F83" s="267">
        <f>QUANT!F83</f>
        <v>255</v>
      </c>
      <c r="G83" s="567">
        <v>330.61</v>
      </c>
      <c r="H83" s="567">
        <f>TRUNC((G83*(1+($D$5))),2)</f>
        <v>381.09</v>
      </c>
      <c r="I83" s="567">
        <f>TRUNC(F83*H83,2)</f>
        <v>97177.95</v>
      </c>
      <c r="J83" s="273">
        <f>SUM(I82:I83)</f>
        <v>110920.34999999999</v>
      </c>
      <c r="M83" s="265"/>
    </row>
    <row r="84" spans="1:13" s="260" customFormat="1" ht="15" customHeight="1">
      <c r="A84" s="269"/>
      <c r="B84" s="275"/>
      <c r="C84" s="275"/>
      <c r="D84" s="276"/>
      <c r="E84" s="266"/>
      <c r="F84" s="267"/>
      <c r="G84" s="567"/>
      <c r="H84" s="567"/>
      <c r="I84" s="567"/>
      <c r="J84" s="273"/>
      <c r="M84" s="265"/>
    </row>
    <row r="85" spans="1:13" s="260" customFormat="1" ht="18" customHeight="1">
      <c r="A85" s="452" t="str">
        <f>QUANT!A85</f>
        <v>12.0</v>
      </c>
      <c r="B85" s="453" t="str">
        <f>QUANT!B85</f>
        <v>XII</v>
      </c>
      <c r="C85" s="453"/>
      <c r="D85" s="466" t="str">
        <f>QUANT!D85</f>
        <v xml:space="preserve">ASSENTAMENTO DE TUBO DE CONCRETO </v>
      </c>
      <c r="E85" s="453"/>
      <c r="F85" s="455"/>
      <c r="G85" s="567"/>
      <c r="H85" s="88"/>
      <c r="I85" s="88"/>
      <c r="J85" s="458"/>
      <c r="M85" s="265"/>
    </row>
    <row r="86" spans="1:13" s="260" customFormat="1" ht="36">
      <c r="A86" s="269" t="str">
        <f>QUANT!A86</f>
        <v>12.1</v>
      </c>
      <c r="B86" s="266">
        <f>QUANT!B86</f>
        <v>92824</v>
      </c>
      <c r="C86" s="266" t="str">
        <f>QUANT!C86</f>
        <v>SINAPI</v>
      </c>
      <c r="D86" s="450" t="str">
        <f>QUANT!D86</f>
        <v>Assentamento de tubo de concreto para redes coletoras de águas pluviais, diâmetro de 600 mm, junta rígida, instalado em local com alto nível DE interferências (não inclui fornecimento). AF_12/2015</v>
      </c>
      <c r="E86" s="266" t="str">
        <f>QUANT!E86</f>
        <v>m</v>
      </c>
      <c r="F86" s="267">
        <f>QUANT!F86</f>
        <v>60</v>
      </c>
      <c r="G86" s="567">
        <v>65.64</v>
      </c>
      <c r="H86" s="567">
        <f>TRUNC((G86*(1+($D$4))),2)</f>
        <v>79.22</v>
      </c>
      <c r="I86" s="567">
        <f>TRUNC(F86*H86,2)</f>
        <v>4753.2</v>
      </c>
      <c r="J86" s="273"/>
      <c r="M86" s="265"/>
    </row>
    <row r="87" spans="1:13" s="260" customFormat="1" ht="28.5" customHeight="1">
      <c r="A87" s="269" t="str">
        <f>QUANT!A87</f>
        <v>12.2</v>
      </c>
      <c r="B87" s="266">
        <f>QUANT!B87</f>
        <v>92826</v>
      </c>
      <c r="C87" s="266" t="str">
        <f>QUANT!C87</f>
        <v>SINAPI</v>
      </c>
      <c r="D87" s="450" t="str">
        <f>QUANT!D87</f>
        <v>Assentamento de tubo de concreto para redes coletoras de águas pluviais, diâmetro de 800 mm, junta rígida, instalado em local com alto nível</v>
      </c>
      <c r="E87" s="266" t="str">
        <f>QUANT!E87</f>
        <v>m</v>
      </c>
      <c r="F87" s="267">
        <f>QUANT!F87</f>
        <v>255</v>
      </c>
      <c r="G87" s="567">
        <v>88.11</v>
      </c>
      <c r="H87" s="567">
        <f>TRUNC((G87*(1+($D$4))),2)</f>
        <v>106.34</v>
      </c>
      <c r="I87" s="567">
        <f>TRUNC(F87*H87,2)</f>
        <v>27116.7</v>
      </c>
      <c r="J87" s="273">
        <f>SUM(I86:I87)</f>
        <v>31869.9</v>
      </c>
      <c r="M87" s="265"/>
    </row>
    <row r="88" spans="1:13" s="260" customFormat="1" ht="15" customHeight="1">
      <c r="A88" s="269"/>
      <c r="B88" s="275"/>
      <c r="C88" s="275"/>
      <c r="D88" s="276"/>
      <c r="E88" s="266"/>
      <c r="F88" s="267"/>
      <c r="G88" s="567"/>
      <c r="H88" s="567"/>
      <c r="I88" s="567"/>
      <c r="J88" s="279"/>
      <c r="M88" s="265"/>
    </row>
    <row r="89" spans="1:13" s="260" customFormat="1" ht="18" customHeight="1">
      <c r="A89" s="452" t="str">
        <f>QUANT!A89</f>
        <v>13.0</v>
      </c>
      <c r="B89" s="453" t="str">
        <f>QUANT!B89</f>
        <v>XIII</v>
      </c>
      <c r="C89" s="453"/>
      <c r="D89" s="466" t="str">
        <f>QUANT!D89</f>
        <v>ÓRGÃOS ACESSÓRIOS</v>
      </c>
      <c r="E89" s="453"/>
      <c r="F89" s="455"/>
      <c r="G89" s="567"/>
      <c r="H89" s="88"/>
      <c r="I89" s="88"/>
      <c r="J89" s="458"/>
      <c r="M89" s="265"/>
    </row>
    <row r="90" spans="1:13" s="260" customFormat="1" ht="15" customHeight="1">
      <c r="A90" s="269" t="str">
        <f>QUANT!A90</f>
        <v>13.1</v>
      </c>
      <c r="B90" s="266">
        <f>QUANT!B90</f>
        <v>2003684</v>
      </c>
      <c r="C90" s="266" t="str">
        <f>QUANT!C90</f>
        <v>SICRO 03</v>
      </c>
      <c r="D90" s="282" t="str">
        <f>QUANT!D90</f>
        <v>Poço de visita - PVI 04 - areia e brita comerciais</v>
      </c>
      <c r="E90" s="266" t="str">
        <f>QUANT!E90</f>
        <v>unid</v>
      </c>
      <c r="F90" s="267">
        <f>QUANT!F90</f>
        <v>5</v>
      </c>
      <c r="G90" s="567">
        <v>2286.3200000000002</v>
      </c>
      <c r="H90" s="567">
        <f t="shared" ref="H90:H95" si="7">TRUNC((G90*(1+($D$4))),2)</f>
        <v>2759.58</v>
      </c>
      <c r="I90" s="567">
        <f t="shared" ref="I90:I95" si="8">TRUNC(F90*H90,2)</f>
        <v>13797.9</v>
      </c>
      <c r="J90" s="273"/>
      <c r="M90" s="265"/>
    </row>
    <row r="91" spans="1:13" s="260" customFormat="1" ht="15" customHeight="1">
      <c r="A91" s="269" t="str">
        <f>QUANT!A91</f>
        <v>13.2</v>
      </c>
      <c r="B91" s="266">
        <f>QUANT!B91</f>
        <v>2003714</v>
      </c>
      <c r="C91" s="266" t="str">
        <f>QUANT!C91</f>
        <v>SICRO 03</v>
      </c>
      <c r="D91" s="282" t="str">
        <f>QUANT!D91</f>
        <v>Chaminé dos poços de visita - CPV 01 - areia e brita comerciais</v>
      </c>
      <c r="E91" s="266" t="str">
        <f>QUANT!E91</f>
        <v>unid</v>
      </c>
      <c r="F91" s="267">
        <f>QUANT!F91</f>
        <v>5</v>
      </c>
      <c r="G91" s="567">
        <v>1827.65</v>
      </c>
      <c r="H91" s="567">
        <f t="shared" si="7"/>
        <v>2205.9699999999998</v>
      </c>
      <c r="I91" s="567">
        <f t="shared" si="8"/>
        <v>11029.85</v>
      </c>
      <c r="J91" s="273"/>
      <c r="M91" s="265"/>
    </row>
    <row r="92" spans="1:13" s="260" customFormat="1" ht="15" customHeight="1">
      <c r="A92" s="269" t="str">
        <f>QUANT!A92</f>
        <v>13.3</v>
      </c>
      <c r="B92" s="266">
        <f>QUANT!B92</f>
        <v>804385</v>
      </c>
      <c r="C92" s="266" t="str">
        <f>QUANT!C92</f>
        <v>SICRO 03</v>
      </c>
      <c r="D92" s="282" t="str">
        <f>QUANT!D92</f>
        <v>Boca BSTC D = 0,80 m - esconsidade 0° - areia e brita comerciais - alas esconsas</v>
      </c>
      <c r="E92" s="266" t="str">
        <f>QUANT!E92</f>
        <v>unid</v>
      </c>
      <c r="F92" s="267">
        <f>QUANT!F92</f>
        <v>2</v>
      </c>
      <c r="G92" s="567">
        <v>1412.64</v>
      </c>
      <c r="H92" s="567">
        <f t="shared" si="7"/>
        <v>1705.05</v>
      </c>
      <c r="I92" s="567">
        <f t="shared" si="8"/>
        <v>3410.1</v>
      </c>
      <c r="J92" s="273"/>
      <c r="M92" s="265"/>
    </row>
    <row r="93" spans="1:13" s="260" customFormat="1" ht="15" customHeight="1">
      <c r="A93" s="269" t="str">
        <f>QUANT!A93</f>
        <v>13.4</v>
      </c>
      <c r="B93" s="266">
        <f>QUANT!B93</f>
        <v>2003455</v>
      </c>
      <c r="C93" s="266" t="str">
        <f>QUANT!C93</f>
        <v>SICRO 03</v>
      </c>
      <c r="D93" s="282" t="str">
        <f>QUANT!D93</f>
        <v>Dissipador de energia - DEB 04 - areia e pedra de mão comerciais</v>
      </c>
      <c r="E93" s="266" t="str">
        <f>QUANT!E93</f>
        <v>unid</v>
      </c>
      <c r="F93" s="267">
        <f>QUANT!F93</f>
        <v>1</v>
      </c>
      <c r="G93" s="567">
        <v>1119.06</v>
      </c>
      <c r="H93" s="567">
        <f t="shared" si="7"/>
        <v>1350.7</v>
      </c>
      <c r="I93" s="567">
        <f t="shared" si="8"/>
        <v>1350.7</v>
      </c>
      <c r="J93" s="273"/>
      <c r="M93" s="265"/>
    </row>
    <row r="94" spans="1:13" s="260" customFormat="1" ht="15" customHeight="1">
      <c r="A94" s="269" t="str">
        <f>QUANT!A94</f>
        <v>13.5</v>
      </c>
      <c r="B94" s="266" t="str">
        <f>QUANT!B94</f>
        <v>COMP. 13.5</v>
      </c>
      <c r="C94" s="266" t="str">
        <f>QUANT!C94</f>
        <v>Composição</v>
      </c>
      <c r="D94" s="282" t="str">
        <f>QUANT!D94</f>
        <v>BLD - Boca de lobo dupla, c/abertura pela guia 1,00m - conforme protjeto tipo</v>
      </c>
      <c r="E94" s="266" t="str">
        <f>QUANT!E94</f>
        <v>unid</v>
      </c>
      <c r="F94" s="267">
        <f>QUANT!F94</f>
        <v>4</v>
      </c>
      <c r="G94" s="567">
        <v>1895.12</v>
      </c>
      <c r="H94" s="567">
        <f t="shared" si="7"/>
        <v>2287.4</v>
      </c>
      <c r="I94" s="567">
        <f t="shared" si="8"/>
        <v>9149.6</v>
      </c>
      <c r="J94" s="273"/>
      <c r="M94" s="265"/>
    </row>
    <row r="95" spans="1:13" s="260" customFormat="1" ht="15" customHeight="1">
      <c r="A95" s="269" t="str">
        <f>QUANT!A95</f>
        <v>13.6</v>
      </c>
      <c r="B95" s="266" t="str">
        <f>QUANT!B95</f>
        <v>COMP. 13.6</v>
      </c>
      <c r="C95" s="266" t="str">
        <f>QUANT!C95</f>
        <v>Composição</v>
      </c>
      <c r="D95" s="282" t="str">
        <f>QUANT!D95</f>
        <v>BLT - Boca de lobo tripla, c/abertura pela guia 1,00m - conforme protjeto tipo</v>
      </c>
      <c r="E95" s="266" t="str">
        <f>QUANT!E95</f>
        <v>unid</v>
      </c>
      <c r="F95" s="267">
        <f>QUANT!F95</f>
        <v>6</v>
      </c>
      <c r="G95" s="567">
        <v>2973.84</v>
      </c>
      <c r="H95" s="567">
        <f t="shared" si="7"/>
        <v>3589.42</v>
      </c>
      <c r="I95" s="567">
        <f t="shared" si="8"/>
        <v>21536.52</v>
      </c>
      <c r="J95" s="273">
        <f>SUM(I90:I95)</f>
        <v>60274.67</v>
      </c>
      <c r="M95" s="265"/>
    </row>
    <row r="96" spans="1:13" s="260" customFormat="1" ht="12.75">
      <c r="A96" s="302"/>
      <c r="B96" s="303"/>
      <c r="C96" s="303"/>
      <c r="D96" s="304"/>
      <c r="E96" s="303"/>
      <c r="F96" s="305"/>
      <c r="G96" s="567"/>
      <c r="H96" s="569"/>
      <c r="I96" s="569"/>
      <c r="J96" s="306"/>
      <c r="M96" s="265"/>
    </row>
    <row r="97" spans="1:13" s="260" customFormat="1" ht="18" customHeight="1">
      <c r="A97" s="467" t="str">
        <f>QUANT!A97</f>
        <v>14.0</v>
      </c>
      <c r="B97" s="453" t="str">
        <f>QUANT!B97</f>
        <v>XII</v>
      </c>
      <c r="C97" s="451"/>
      <c r="D97" s="468" t="str">
        <f>QUANT!D97</f>
        <v>CONTROLE E RECUPERAÇÃO AMBIENTAL</v>
      </c>
      <c r="E97" s="451"/>
      <c r="F97" s="455"/>
      <c r="G97" s="567"/>
      <c r="H97" s="284"/>
      <c r="I97" s="284"/>
      <c r="J97" s="469"/>
      <c r="M97" s="265"/>
    </row>
    <row r="98" spans="1:13" s="260" customFormat="1" ht="15" customHeight="1">
      <c r="A98" s="269" t="str">
        <f>QUANT!A98</f>
        <v>14.1</v>
      </c>
      <c r="B98" s="266">
        <f>QUANT!B98</f>
        <v>4413905</v>
      </c>
      <c r="C98" s="266" t="str">
        <f>QUANT!C98</f>
        <v>SICRO 03</v>
      </c>
      <c r="D98" s="282" t="str">
        <f>QUANT!D98</f>
        <v>Hidrossemeadura</v>
      </c>
      <c r="E98" s="266" t="str">
        <f>QUANT!E98</f>
        <v>m²</v>
      </c>
      <c r="F98" s="267">
        <f>QUANT!F98</f>
        <v>3595.0167692307687</v>
      </c>
      <c r="G98" s="567">
        <v>3.13</v>
      </c>
      <c r="H98" s="567">
        <f>TRUNC((G98*(1+($D$4))),2)</f>
        <v>3.77</v>
      </c>
      <c r="I98" s="567">
        <f>TRUNC(F98*H98,2)</f>
        <v>13553.21</v>
      </c>
      <c r="J98" s="306"/>
      <c r="M98" s="265"/>
    </row>
    <row r="99" spans="1:13" s="260" customFormat="1" ht="24">
      <c r="A99" s="269" t="str">
        <f>QUANT!A99</f>
        <v>14.2</v>
      </c>
      <c r="B99" s="266" t="str">
        <f>QUANT!B99</f>
        <v>4413989</v>
      </c>
      <c r="C99" s="266" t="str">
        <f>QUANT!C99</f>
        <v>SICRO 03</v>
      </c>
      <c r="D99" s="282" t="str">
        <f>QUANT!D99</f>
        <v>Plantio de mudas arbóreas com porte de 30 a 80 cm em covas de 0,60 x 0,60 x 0,60 m</v>
      </c>
      <c r="E99" s="266" t="str">
        <f>QUANT!E99</f>
        <v>un</v>
      </c>
      <c r="F99" s="267">
        <f>QUANT!F99</f>
        <v>14</v>
      </c>
      <c r="G99" s="567">
        <v>22.4</v>
      </c>
      <c r="H99" s="567">
        <f>TRUNC((G99*(1+($D$4))),2)</f>
        <v>27.03</v>
      </c>
      <c r="I99" s="567">
        <f>TRUNC(F99*H99,2)</f>
        <v>378.42</v>
      </c>
      <c r="J99" s="273">
        <f>SUM(I98:I99)</f>
        <v>13931.63</v>
      </c>
      <c r="M99" s="265"/>
    </row>
    <row r="100" spans="1:13" ht="18" customHeight="1" thickBot="1">
      <c r="A100" s="653" t="s">
        <v>14</v>
      </c>
      <c r="B100" s="654"/>
      <c r="C100" s="449"/>
      <c r="D100" s="506" t="s">
        <v>14</v>
      </c>
      <c r="E100" s="449"/>
      <c r="F100" s="507"/>
      <c r="G100" s="508"/>
      <c r="H100" s="509"/>
      <c r="I100" s="509"/>
      <c r="J100" s="209">
        <f>SUM(J8:J99)</f>
        <v>908826.70000000007</v>
      </c>
      <c r="M100" s="265"/>
    </row>
    <row r="102" spans="1:13" ht="15" customHeight="1">
      <c r="F102" s="90">
        <f>SUM(F5:F99)</f>
        <v>205503.11791527428</v>
      </c>
      <c r="I102" s="90">
        <f>SUM(I8:I99)</f>
        <v>908826.69999999984</v>
      </c>
      <c r="J102" s="3">
        <f>J47+I50+I51+I52</f>
        <v>80663.95</v>
      </c>
    </row>
    <row r="104" spans="1:13" ht="15" customHeight="1">
      <c r="J104" s="3">
        <f>J100-J102</f>
        <v>828162.75000000012</v>
      </c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4">
    <mergeCell ref="J4:J5"/>
    <mergeCell ref="A100:B100"/>
    <mergeCell ref="E4:F4"/>
    <mergeCell ref="D3:I3"/>
    <mergeCell ref="A1:C3"/>
    <mergeCell ref="A4:C4"/>
    <mergeCell ref="A5:C5"/>
    <mergeCell ref="D1:I1"/>
    <mergeCell ref="D2:I2"/>
    <mergeCell ref="E5:E6"/>
    <mergeCell ref="F5:F6"/>
    <mergeCell ref="G5:G6"/>
    <mergeCell ref="H5:H6"/>
    <mergeCell ref="I5:I6"/>
  </mergeCells>
  <phoneticPr fontId="0" type="noConversion"/>
  <printOptions horizontalCentered="1"/>
  <pageMargins left="0.39370078740157483" right="0.19685039370078741" top="0.19685039370078741" bottom="0.19685039370078741" header="0.51181102362204722" footer="0.51181102362204722"/>
  <pageSetup paperSize="9" scale="57" fitToWidth="2" fitToHeight="0" orientation="landscape" r:id="rId2"/>
  <headerFooter alignWithMargins="0"/>
  <rowBreaks count="1" manualBreakCount="1">
    <brk id="5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30"/>
  <sheetViews>
    <sheetView topLeftCell="A16" zoomScale="90" zoomScaleNormal="90" workbookViewId="0">
      <selection activeCell="B10" sqref="B10:B11"/>
    </sheetView>
  </sheetViews>
  <sheetFormatPr defaultRowHeight="14.25" customHeight="1"/>
  <cols>
    <col min="1" max="1" width="13.7109375" customWidth="1"/>
    <col min="2" max="2" width="59" customWidth="1"/>
    <col min="3" max="3" width="12.7109375" customWidth="1"/>
    <col min="4" max="4" width="12.140625" customWidth="1"/>
    <col min="5" max="5" width="8" customWidth="1"/>
    <col min="6" max="6" width="13.42578125" bestFit="1" customWidth="1"/>
    <col min="8" max="8" width="20.28515625" customWidth="1"/>
    <col min="9" max="9" width="9.28515625" bestFit="1" customWidth="1"/>
    <col min="10" max="10" width="21.5703125" customWidth="1"/>
  </cols>
  <sheetData>
    <row r="1" spans="1:10" ht="15" customHeight="1">
      <c r="A1" s="678" t="str">
        <f>QUANT!A1</f>
        <v>PREFEITURA MUNICIPAL DE VÁRZEA GRANDE</v>
      </c>
      <c r="B1" s="678"/>
      <c r="C1" s="678"/>
      <c r="D1" s="678"/>
      <c r="E1" s="678"/>
      <c r="F1" s="678"/>
      <c r="G1" s="678"/>
      <c r="H1" s="678"/>
      <c r="I1" s="678"/>
      <c r="J1" s="678"/>
    </row>
    <row r="2" spans="1:10" ht="20.100000000000001" customHeight="1">
      <c r="A2" s="675" t="str">
        <f>QUANT!A2</f>
        <v>BAIRRO: NOVA ESPERANÇA</v>
      </c>
      <c r="B2" s="676"/>
      <c r="C2" s="676"/>
      <c r="D2" s="676"/>
      <c r="E2" s="676"/>
      <c r="F2" s="676"/>
      <c r="G2" s="676"/>
      <c r="H2" s="676"/>
      <c r="I2" s="676"/>
      <c r="J2" s="677"/>
    </row>
    <row r="3" spans="1:10" ht="20.100000000000001" customHeight="1">
      <c r="A3" s="672" t="str">
        <f>QUANT!A3</f>
        <v>RUAS: NOVA ESPERAÇA</v>
      </c>
      <c r="B3" s="673"/>
      <c r="C3" s="673"/>
      <c r="D3" s="673"/>
      <c r="E3" s="673"/>
      <c r="F3" s="673"/>
      <c r="G3" s="673"/>
      <c r="H3" s="673"/>
      <c r="I3" s="673"/>
      <c r="J3" s="674"/>
    </row>
    <row r="4" spans="1:10" ht="23.25" customHeight="1">
      <c r="A4" s="137" t="str">
        <f>QUANT!A22</f>
        <v>4.0</v>
      </c>
      <c r="B4" s="136" t="str">
        <f>QUANT!D22</f>
        <v>TERRAPLENAGEM</v>
      </c>
      <c r="C4" s="136"/>
      <c r="D4" s="136"/>
      <c r="E4" s="136"/>
      <c r="F4" s="136"/>
      <c r="G4" s="136"/>
      <c r="H4" s="136"/>
      <c r="I4" s="136"/>
      <c r="J4" s="136"/>
    </row>
    <row r="5" spans="1:10" ht="15" customHeight="1">
      <c r="A5" s="529" t="s">
        <v>377</v>
      </c>
      <c r="B5" s="530"/>
      <c r="C5" s="531"/>
      <c r="D5" s="531"/>
      <c r="E5" s="531"/>
      <c r="F5" s="531"/>
      <c r="G5" s="531"/>
      <c r="H5" s="531"/>
      <c r="I5" s="532"/>
      <c r="J5" s="533"/>
    </row>
    <row r="6" spans="1:10" ht="23.25" customHeight="1">
      <c r="A6" s="179" t="s">
        <v>15</v>
      </c>
      <c r="B6" s="179" t="s">
        <v>16</v>
      </c>
      <c r="C6" s="179" t="s">
        <v>17</v>
      </c>
      <c r="D6" s="179" t="s">
        <v>11</v>
      </c>
      <c r="E6" s="179" t="s">
        <v>18</v>
      </c>
      <c r="F6" s="87" t="s">
        <v>512</v>
      </c>
      <c r="G6" s="75" t="s">
        <v>10</v>
      </c>
      <c r="H6" s="180" t="s">
        <v>19</v>
      </c>
      <c r="I6" s="179" t="s">
        <v>20</v>
      </c>
      <c r="J6" s="179" t="s">
        <v>21</v>
      </c>
    </row>
    <row r="7" spans="1:10" ht="15" customHeight="1">
      <c r="A7" s="179"/>
      <c r="B7" s="179"/>
      <c r="C7" s="179"/>
      <c r="D7" s="179"/>
      <c r="E7" s="179"/>
      <c r="F7" s="451"/>
      <c r="G7" s="451"/>
      <c r="H7" s="180"/>
      <c r="I7" s="179"/>
      <c r="J7" s="179"/>
    </row>
    <row r="8" spans="1:10" ht="23.25" customHeight="1">
      <c r="A8" s="179">
        <f>QUANT!B28</f>
        <v>4016096</v>
      </c>
      <c r="B8" s="181" t="str">
        <f>QUANT!D28</f>
        <v>Escavação e carga de material de jazida com escavadeira hidráulica de 1,56 m³</v>
      </c>
      <c r="C8" s="451" t="s">
        <v>22</v>
      </c>
      <c r="D8" s="534">
        <f>QUANT!F28</f>
        <v>3401.5217999999995</v>
      </c>
      <c r="E8" s="451" t="s">
        <v>4</v>
      </c>
      <c r="F8" s="75">
        <v>2.0625</v>
      </c>
      <c r="G8" s="451" t="s">
        <v>273</v>
      </c>
      <c r="H8" s="97">
        <f>D8*F8</f>
        <v>7015.6387124999992</v>
      </c>
      <c r="I8" s="451">
        <v>16</v>
      </c>
      <c r="J8" s="535">
        <f>H8*I8</f>
        <v>112250.21939999999</v>
      </c>
    </row>
    <row r="9" spans="1:10" ht="15" customHeight="1">
      <c r="A9" s="451" t="s">
        <v>14</v>
      </c>
      <c r="B9" s="532"/>
      <c r="C9" s="532"/>
      <c r="D9" s="532"/>
      <c r="E9" s="532"/>
      <c r="F9" s="532"/>
      <c r="G9" s="532"/>
      <c r="H9" s="532"/>
      <c r="I9" s="532"/>
      <c r="J9" s="533">
        <f>SUM(J8:J8)</f>
        <v>112250.21939999999</v>
      </c>
    </row>
    <row r="10" spans="1:10" s="210" customFormat="1" ht="15" customHeight="1">
      <c r="A10" s="211"/>
      <c r="B10" s="211"/>
      <c r="C10" s="211"/>
      <c r="D10" s="211"/>
      <c r="E10" s="211"/>
      <c r="F10" s="211"/>
      <c r="G10" s="211"/>
      <c r="H10" s="211"/>
      <c r="I10" s="211"/>
      <c r="J10" s="211"/>
    </row>
    <row r="11" spans="1:10" ht="15" customHeight="1">
      <c r="A11" s="137" t="str">
        <f>QUANT!A33</f>
        <v>5.0</v>
      </c>
      <c r="B11" s="139" t="str">
        <f>QUANT!D33</f>
        <v>PAVIMENTAÇÃO (IMPLANTAÇÃO)</v>
      </c>
      <c r="C11" s="138"/>
      <c r="D11" s="138"/>
      <c r="E11" s="138"/>
      <c r="F11" s="138"/>
      <c r="G11" s="138"/>
      <c r="H11" s="138"/>
      <c r="I11" s="138"/>
      <c r="J11" s="138"/>
    </row>
    <row r="12" spans="1:10" ht="15" customHeight="1">
      <c r="A12" s="75"/>
      <c r="B12" s="536"/>
      <c r="C12" s="536"/>
      <c r="D12" s="536"/>
      <c r="E12" s="536"/>
      <c r="F12" s="536"/>
      <c r="G12" s="536"/>
      <c r="H12" s="536"/>
      <c r="I12" s="536"/>
      <c r="J12" s="112"/>
    </row>
    <row r="13" spans="1:10" ht="15" customHeight="1">
      <c r="A13" s="299" t="s">
        <v>377</v>
      </c>
      <c r="B13" s="537"/>
      <c r="C13" s="537"/>
      <c r="D13" s="537"/>
      <c r="E13" s="537"/>
      <c r="F13" s="537"/>
      <c r="G13" s="537"/>
      <c r="H13" s="537"/>
      <c r="I13" s="536"/>
      <c r="J13" s="112"/>
    </row>
    <row r="14" spans="1:10" ht="25.5">
      <c r="A14" s="87" t="s">
        <v>15</v>
      </c>
      <c r="B14" s="87" t="s">
        <v>16</v>
      </c>
      <c r="C14" s="87" t="s">
        <v>17</v>
      </c>
      <c r="D14" s="87" t="s">
        <v>11</v>
      </c>
      <c r="E14" s="87" t="s">
        <v>18</v>
      </c>
      <c r="F14" s="87" t="s">
        <v>512</v>
      </c>
      <c r="G14" s="75" t="s">
        <v>10</v>
      </c>
      <c r="H14" s="87" t="s">
        <v>19</v>
      </c>
      <c r="I14" s="87" t="s">
        <v>20</v>
      </c>
      <c r="J14" s="87" t="s">
        <v>21</v>
      </c>
    </row>
    <row r="15" spans="1:10" ht="15" customHeight="1">
      <c r="A15" s="87"/>
      <c r="B15" s="87"/>
      <c r="C15" s="87"/>
      <c r="D15" s="87"/>
      <c r="E15" s="87"/>
      <c r="F15" s="75"/>
      <c r="G15" s="75"/>
      <c r="H15" s="87"/>
      <c r="I15" s="87"/>
      <c r="J15" s="87"/>
    </row>
    <row r="16" spans="1:10" ht="30" customHeight="1">
      <c r="A16" s="75" t="str">
        <f>QUANT!B37</f>
        <v>4011227</v>
      </c>
      <c r="B16" s="538" t="str">
        <f>QUANT!D37</f>
        <v>Sub-base de solo estabilizado granulometricamente sem mistura com material de jazida</v>
      </c>
      <c r="C16" s="75" t="s">
        <v>22</v>
      </c>
      <c r="D16" s="110">
        <f>QUANT!F37</f>
        <v>530</v>
      </c>
      <c r="E16" s="75" t="s">
        <v>4</v>
      </c>
      <c r="F16" s="75">
        <v>2.0625</v>
      </c>
      <c r="G16" s="75" t="s">
        <v>23</v>
      </c>
      <c r="H16" s="111">
        <f t="shared" ref="H16:H22" si="0">D16*F16</f>
        <v>1093.125</v>
      </c>
      <c r="I16" s="75">
        <v>16</v>
      </c>
      <c r="J16" s="112">
        <f t="shared" ref="J16:J21" si="1">H16*I16</f>
        <v>17490</v>
      </c>
    </row>
    <row r="17" spans="1:10" ht="25.5">
      <c r="A17" s="75" t="str">
        <f>QUANT!B38</f>
        <v>4011219</v>
      </c>
      <c r="B17" s="538" t="str">
        <f>QUANT!D38</f>
        <v>Base de solo estabilizado granulometricamente sem mistura com material de jazida</v>
      </c>
      <c r="C17" s="75" t="s">
        <v>22</v>
      </c>
      <c r="D17" s="110">
        <f>QUANT!F38</f>
        <v>530</v>
      </c>
      <c r="E17" s="75" t="s">
        <v>4</v>
      </c>
      <c r="F17" s="75">
        <v>2.0625</v>
      </c>
      <c r="G17" s="75" t="s">
        <v>23</v>
      </c>
      <c r="H17" s="111">
        <f t="shared" si="0"/>
        <v>1093.125</v>
      </c>
      <c r="I17" s="75">
        <f>$I$8</f>
        <v>16</v>
      </c>
      <c r="J17" s="112">
        <f t="shared" si="1"/>
        <v>17490</v>
      </c>
    </row>
    <row r="18" spans="1:10" ht="15" customHeight="1">
      <c r="A18" s="75">
        <f>QUANT!$B$42</f>
        <v>4011463</v>
      </c>
      <c r="B18" s="538" t="str">
        <f>QUANT!$D$42</f>
        <v>Concreto asfáltico - faixa C - areia e brita comerciais</v>
      </c>
      <c r="C18" s="75" t="s">
        <v>380</v>
      </c>
      <c r="D18" s="110">
        <f>QUANT!$F$42</f>
        <v>241.21056000000002</v>
      </c>
      <c r="E18" s="75" t="s">
        <v>4</v>
      </c>
      <c r="F18" s="75">
        <v>0.48713000000000001</v>
      </c>
      <c r="G18" s="75" t="s">
        <v>384</v>
      </c>
      <c r="H18" s="111">
        <f t="shared" si="0"/>
        <v>117.50090009280001</v>
      </c>
      <c r="I18" s="75">
        <v>6.7</v>
      </c>
      <c r="J18" s="112">
        <f t="shared" si="1"/>
        <v>787.25603062176003</v>
      </c>
    </row>
    <row r="19" spans="1:10" ht="15" customHeight="1">
      <c r="A19" s="75">
        <f>QUANT!$B$42</f>
        <v>4011463</v>
      </c>
      <c r="B19" s="538" t="str">
        <f>QUANT!$D$42</f>
        <v>Concreto asfáltico - faixa C - areia e brita comerciais</v>
      </c>
      <c r="C19" s="75" t="s">
        <v>383</v>
      </c>
      <c r="D19" s="110">
        <f>QUANT!$F$42</f>
        <v>241.21056000000002</v>
      </c>
      <c r="E19" s="75" t="s">
        <v>345</v>
      </c>
      <c r="F19" s="75">
        <v>9.3679999999999999E-2</v>
      </c>
      <c r="G19" s="75" t="s">
        <v>384</v>
      </c>
      <c r="H19" s="111">
        <f t="shared" si="0"/>
        <v>22.596605260800001</v>
      </c>
      <c r="I19" s="75">
        <v>45.2</v>
      </c>
      <c r="J19" s="112">
        <f t="shared" si="1"/>
        <v>1021.3665577881601</v>
      </c>
    </row>
    <row r="20" spans="1:10" ht="15" customHeight="1">
      <c r="A20" s="75">
        <f>QUANT!$B$42</f>
        <v>4011463</v>
      </c>
      <c r="B20" s="538" t="str">
        <f>QUANT!$D$42</f>
        <v>Concreto asfáltico - faixa C - areia e brita comerciais</v>
      </c>
      <c r="C20" s="75" t="s">
        <v>381</v>
      </c>
      <c r="D20" s="110">
        <f>QUANT!$F$42</f>
        <v>241.21056000000002</v>
      </c>
      <c r="E20" s="75" t="s">
        <v>345</v>
      </c>
      <c r="F20" s="75">
        <v>9.3679999999999999E-2</v>
      </c>
      <c r="G20" s="75" t="s">
        <v>384</v>
      </c>
      <c r="H20" s="111">
        <f t="shared" si="0"/>
        <v>22.596605260800001</v>
      </c>
      <c r="I20" s="75">
        <v>45.2</v>
      </c>
      <c r="J20" s="112">
        <f t="shared" si="1"/>
        <v>1021.3665577881601</v>
      </c>
    </row>
    <row r="21" spans="1:10" ht="15" customHeight="1">
      <c r="A21" s="75">
        <f>QUANT!$B$42</f>
        <v>4011463</v>
      </c>
      <c r="B21" s="538" t="str">
        <f>QUANT!$D$42</f>
        <v>Concreto asfáltico - faixa C - areia e brita comerciais</v>
      </c>
      <c r="C21" s="75" t="s">
        <v>382</v>
      </c>
      <c r="D21" s="110">
        <f>QUANT!$F$42</f>
        <v>241.21056000000002</v>
      </c>
      <c r="E21" s="75" t="s">
        <v>345</v>
      </c>
      <c r="F21" s="75">
        <v>0.20609</v>
      </c>
      <c r="G21" s="75" t="s">
        <v>384</v>
      </c>
      <c r="H21" s="111">
        <f t="shared" si="0"/>
        <v>49.711084310400004</v>
      </c>
      <c r="I21" s="75">
        <v>45.2</v>
      </c>
      <c r="J21" s="112">
        <f t="shared" si="1"/>
        <v>2246.9410108300804</v>
      </c>
    </row>
    <row r="22" spans="1:10" ht="15" customHeight="1">
      <c r="A22" s="75">
        <f>QUANT!$B$42</f>
        <v>4011463</v>
      </c>
      <c r="B22" s="538" t="str">
        <f>QUANT!$D$42</f>
        <v>Concreto asfáltico - faixa C - areia e brita comerciais</v>
      </c>
      <c r="C22" s="75" t="s">
        <v>200</v>
      </c>
      <c r="D22" s="110">
        <f>QUANT!F42</f>
        <v>241.21056000000002</v>
      </c>
      <c r="E22" s="75" t="s">
        <v>4</v>
      </c>
      <c r="F22" s="308">
        <v>1</v>
      </c>
      <c r="G22" s="75" t="s">
        <v>23</v>
      </c>
      <c r="H22" s="111">
        <f t="shared" si="0"/>
        <v>241.21056000000002</v>
      </c>
      <c r="I22" s="75">
        <v>5.4</v>
      </c>
      <c r="J22" s="112">
        <f>INT(H22*I22*100)/100</f>
        <v>1302.53</v>
      </c>
    </row>
    <row r="23" spans="1:10" ht="15" customHeight="1">
      <c r="A23" s="51" t="s">
        <v>14</v>
      </c>
      <c r="B23" s="536"/>
      <c r="C23" s="536"/>
      <c r="D23" s="536"/>
      <c r="E23" s="536"/>
      <c r="F23" s="536"/>
      <c r="G23" s="536"/>
      <c r="H23" s="536"/>
      <c r="I23" s="536"/>
      <c r="J23" s="539">
        <f>SUM(J16:J22)</f>
        <v>41359.460157028159</v>
      </c>
    </row>
    <row r="24" spans="1:10" ht="15" customHeight="1">
      <c r="A24" s="87"/>
      <c r="B24" s="132"/>
      <c r="C24" s="536"/>
      <c r="D24" s="536"/>
      <c r="E24" s="536"/>
      <c r="F24" s="536"/>
      <c r="G24" s="536"/>
      <c r="H24" s="536"/>
      <c r="I24" s="536"/>
      <c r="J24" s="539"/>
    </row>
    <row r="25" spans="1:10" ht="15" customHeight="1">
      <c r="A25" s="51" t="str">
        <f>QUANT!A68</f>
        <v>10.0</v>
      </c>
      <c r="B25" s="139" t="str">
        <f>QUANT!D68</f>
        <v>DRENAGEM</v>
      </c>
      <c r="C25" s="540"/>
      <c r="D25" s="540"/>
      <c r="E25" s="540"/>
      <c r="F25" s="540"/>
      <c r="G25" s="540"/>
      <c r="H25" s="540"/>
      <c r="I25" s="540"/>
      <c r="J25" s="540"/>
    </row>
    <row r="26" spans="1:10" ht="15" customHeight="1">
      <c r="A26" s="529" t="s">
        <v>377</v>
      </c>
      <c r="B26" s="537"/>
      <c r="C26" s="537"/>
      <c r="D26" s="537"/>
      <c r="E26" s="537"/>
      <c r="F26" s="537"/>
      <c r="G26" s="537"/>
      <c r="H26" s="537"/>
      <c r="I26" s="536"/>
      <c r="J26" s="112"/>
    </row>
    <row r="27" spans="1:10" ht="25.5">
      <c r="A27" s="87" t="s">
        <v>15</v>
      </c>
      <c r="B27" s="87" t="s">
        <v>16</v>
      </c>
      <c r="C27" s="87" t="s">
        <v>17</v>
      </c>
      <c r="D27" s="87" t="s">
        <v>11</v>
      </c>
      <c r="E27" s="87" t="s">
        <v>18</v>
      </c>
      <c r="F27" s="87" t="s">
        <v>512</v>
      </c>
      <c r="G27" s="75" t="s">
        <v>10</v>
      </c>
      <c r="H27" s="87" t="s">
        <v>19</v>
      </c>
      <c r="I27" s="87" t="s">
        <v>20</v>
      </c>
      <c r="J27" s="87" t="s">
        <v>21</v>
      </c>
    </row>
    <row r="28" spans="1:10" ht="15" customHeight="1">
      <c r="A28" s="87"/>
      <c r="B28" s="87"/>
      <c r="C28" s="87"/>
      <c r="D28" s="87"/>
      <c r="E28" s="87"/>
      <c r="F28" s="75"/>
      <c r="G28" s="75"/>
      <c r="H28" s="87"/>
      <c r="I28" s="87"/>
      <c r="J28" s="87"/>
    </row>
    <row r="29" spans="1:10" s="113" customFormat="1" ht="36" customHeight="1">
      <c r="A29" s="87" t="str">
        <f>QUANT!B76</f>
        <v>COMP. 10.8</v>
      </c>
      <c r="B29" s="132" t="str">
        <f>QUANT!D76</f>
        <v>Carga e descarga mecânica de solo utilizando caminhão basculante 5m³ /11t e pa carregadeira sobre pneus * 105 hp * cap. 1,72m3</v>
      </c>
      <c r="C29" s="75" t="s">
        <v>22</v>
      </c>
      <c r="D29" s="110">
        <f>QUANT!F76</f>
        <v>216.99082239999973</v>
      </c>
      <c r="E29" s="75" t="s">
        <v>4</v>
      </c>
      <c r="F29" s="75">
        <v>2.0625</v>
      </c>
      <c r="G29" s="75" t="s">
        <v>23</v>
      </c>
      <c r="H29" s="111">
        <f>D29*F29</f>
        <v>447.54357119999946</v>
      </c>
      <c r="I29" s="75">
        <f>I8</f>
        <v>16</v>
      </c>
      <c r="J29" s="112">
        <f>H29*I29</f>
        <v>7160.6971391999914</v>
      </c>
    </row>
    <row r="30" spans="1:10" s="113" customFormat="1" ht="20.100000000000001" customHeight="1">
      <c r="A30" s="137" t="s">
        <v>14</v>
      </c>
      <c r="B30" s="541"/>
      <c r="C30" s="541"/>
      <c r="D30" s="541"/>
      <c r="E30" s="541"/>
      <c r="F30" s="541"/>
      <c r="G30" s="541"/>
      <c r="H30" s="541"/>
      <c r="I30" s="541"/>
      <c r="J30" s="542">
        <f>SUM(J29)</f>
        <v>7160.6971391999914</v>
      </c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3">
    <mergeCell ref="A3:J3"/>
    <mergeCell ref="A2:J2"/>
    <mergeCell ref="A1:J1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opLeftCell="D28" zoomScale="96" zoomScaleNormal="96" workbookViewId="0">
      <selection activeCell="S66" sqref="K34:S66"/>
    </sheetView>
  </sheetViews>
  <sheetFormatPr defaultRowHeight="15"/>
  <cols>
    <col min="1" max="1" width="28" style="309" customWidth="1"/>
    <col min="2" max="2" width="16.7109375" style="309" customWidth="1"/>
    <col min="3" max="3" width="11.28515625" style="309" bestFit="1" customWidth="1"/>
    <col min="4" max="4" width="10.42578125" style="309" bestFit="1" customWidth="1"/>
    <col min="5" max="5" width="18.42578125" style="309" customWidth="1"/>
    <col min="6" max="6" width="13.42578125" style="309" bestFit="1" customWidth="1"/>
    <col min="7" max="7" width="7.42578125" style="309" bestFit="1" customWidth="1"/>
    <col min="8" max="8" width="8.140625" style="309" bestFit="1" customWidth="1"/>
    <col min="9" max="9" width="13.140625" style="309" customWidth="1"/>
    <col min="10" max="10" width="9.140625" style="309"/>
    <col min="11" max="11" width="28.7109375" style="309" customWidth="1"/>
    <col min="12" max="12" width="15.42578125" style="309" customWidth="1"/>
    <col min="13" max="13" width="11.28515625" style="309" bestFit="1" customWidth="1"/>
    <col min="14" max="14" width="10.42578125" style="309" bestFit="1" customWidth="1"/>
    <col min="15" max="15" width="18.42578125" style="309" customWidth="1"/>
    <col min="16" max="16" width="13.42578125" style="309" bestFit="1" customWidth="1"/>
    <col min="17" max="17" width="7.42578125" style="309" bestFit="1" customWidth="1"/>
    <col min="18" max="18" width="8.140625" style="309" bestFit="1" customWidth="1"/>
    <col min="19" max="19" width="13.42578125" style="309" customWidth="1"/>
  </cols>
  <sheetData>
    <row r="1" spans="1:19" ht="15.75" thickBot="1">
      <c r="A1" s="679" t="s">
        <v>385</v>
      </c>
      <c r="B1" s="680"/>
      <c r="C1" s="680"/>
      <c r="D1" s="680"/>
      <c r="E1" s="680"/>
      <c r="F1" s="680"/>
      <c r="G1" s="680"/>
      <c r="H1" s="680"/>
      <c r="I1" s="681"/>
      <c r="K1" s="679"/>
      <c r="L1" s="680"/>
      <c r="M1" s="680"/>
      <c r="N1" s="680"/>
      <c r="O1" s="680"/>
      <c r="P1" s="680"/>
      <c r="Q1" s="680"/>
      <c r="R1" s="680"/>
      <c r="S1" s="681"/>
    </row>
    <row r="2" spans="1:19">
      <c r="A2" s="679" t="s">
        <v>386</v>
      </c>
      <c r="B2" s="680"/>
      <c r="C2" s="680"/>
      <c r="D2" s="680"/>
      <c r="E2" s="680"/>
      <c r="F2" s="680"/>
      <c r="G2" s="680"/>
      <c r="H2" s="680"/>
      <c r="I2" s="681"/>
      <c r="K2" s="682"/>
      <c r="L2" s="683"/>
      <c r="M2" s="683"/>
      <c r="N2" s="683"/>
      <c r="O2" s="683"/>
      <c r="P2" s="683"/>
      <c r="Q2" s="683"/>
      <c r="R2" s="683"/>
      <c r="S2" s="684"/>
    </row>
    <row r="3" spans="1:19" ht="15.75" thickBot="1">
      <c r="A3" s="682" t="s">
        <v>387</v>
      </c>
      <c r="B3" s="683"/>
      <c r="C3" s="683"/>
      <c r="D3" s="683"/>
      <c r="E3" s="683"/>
      <c r="F3" s="683"/>
      <c r="G3" s="683"/>
      <c r="H3" s="683"/>
      <c r="I3" s="684"/>
      <c r="K3" s="685"/>
      <c r="L3" s="686"/>
      <c r="M3" s="686"/>
      <c r="N3" s="686"/>
      <c r="O3" s="686"/>
      <c r="P3" s="686"/>
      <c r="Q3" s="686"/>
      <c r="R3" s="686"/>
      <c r="S3" s="687"/>
    </row>
    <row r="4" spans="1:19" ht="15.75" thickBot="1">
      <c r="A4" s="688" t="s">
        <v>388</v>
      </c>
      <c r="B4" s="689"/>
      <c r="C4" s="689"/>
      <c r="D4" s="689"/>
      <c r="E4" s="689"/>
      <c r="F4" s="689"/>
      <c r="G4" s="689"/>
      <c r="H4" s="689"/>
      <c r="I4" s="690"/>
      <c r="K4" s="688"/>
      <c r="L4" s="689"/>
      <c r="M4" s="689"/>
      <c r="N4" s="689"/>
      <c r="O4" s="689"/>
      <c r="P4" s="689"/>
      <c r="Q4" s="689"/>
      <c r="R4" s="689"/>
      <c r="S4" s="690"/>
    </row>
    <row r="5" spans="1:19">
      <c r="A5" s="310"/>
      <c r="B5" s="311"/>
      <c r="C5" s="311"/>
      <c r="D5" s="311"/>
      <c r="E5" s="311"/>
      <c r="F5" s="311"/>
      <c r="G5" s="311"/>
      <c r="H5" s="311"/>
      <c r="I5" s="312"/>
      <c r="K5" s="310"/>
      <c r="L5" s="311"/>
      <c r="M5" s="311"/>
      <c r="N5" s="311"/>
      <c r="O5" s="311"/>
      <c r="P5" s="311"/>
      <c r="Q5" s="311"/>
      <c r="R5" s="311"/>
      <c r="S5" s="312"/>
    </row>
    <row r="6" spans="1:19">
      <c r="A6" s="313" t="s">
        <v>389</v>
      </c>
      <c r="B6" s="314" t="s">
        <v>390</v>
      </c>
      <c r="C6" s="311"/>
      <c r="D6" s="311"/>
      <c r="E6" s="311"/>
      <c r="F6" s="311"/>
      <c r="G6" s="311"/>
      <c r="H6" s="311"/>
      <c r="I6" s="312"/>
      <c r="K6" s="313"/>
      <c r="L6" s="314"/>
      <c r="M6" s="311"/>
      <c r="N6" s="311"/>
      <c r="O6" s="311"/>
      <c r="P6" s="311"/>
      <c r="Q6" s="311"/>
      <c r="R6" s="311"/>
      <c r="S6" s="312"/>
    </row>
    <row r="7" spans="1:19">
      <c r="A7" s="313" t="s">
        <v>391</v>
      </c>
      <c r="B7" s="314" t="s">
        <v>392</v>
      </c>
      <c r="C7" s="311"/>
      <c r="D7" s="311"/>
      <c r="E7" s="311"/>
      <c r="F7" s="311"/>
      <c r="G7" s="311"/>
      <c r="H7" s="311"/>
      <c r="I7" s="312"/>
      <c r="K7" s="313"/>
      <c r="L7" s="314"/>
      <c r="M7" s="311"/>
      <c r="N7" s="311"/>
      <c r="O7" s="311"/>
      <c r="P7" s="311"/>
      <c r="Q7" s="311"/>
      <c r="R7" s="311"/>
      <c r="S7" s="312"/>
    </row>
    <row r="8" spans="1:19" ht="15.75" thickBot="1">
      <c r="A8" s="310"/>
      <c r="B8" s="314"/>
      <c r="C8" s="311"/>
      <c r="D8" s="311"/>
      <c r="E8" s="311"/>
      <c r="F8" s="311"/>
      <c r="G8" s="311"/>
      <c r="H8" s="311"/>
      <c r="I8" s="312"/>
      <c r="K8" s="310"/>
      <c r="L8" s="314"/>
      <c r="M8" s="311"/>
      <c r="N8" s="311"/>
      <c r="O8" s="311"/>
      <c r="P8" s="311"/>
      <c r="Q8" s="311"/>
      <c r="R8" s="311"/>
      <c r="S8" s="312"/>
    </row>
    <row r="9" spans="1:19" ht="15.75" thickBot="1">
      <c r="A9" s="691" t="s">
        <v>393</v>
      </c>
      <c r="B9" s="692"/>
      <c r="C9" s="692"/>
      <c r="D9" s="692"/>
      <c r="E9" s="692"/>
      <c r="F9" s="692"/>
      <c r="G9" s="692"/>
      <c r="H9" s="692"/>
      <c r="I9" s="693"/>
      <c r="K9" s="694"/>
      <c r="L9" s="695"/>
      <c r="M9" s="695"/>
      <c r="N9" s="695"/>
      <c r="O9" s="695"/>
      <c r="P9" s="695"/>
      <c r="Q9" s="695"/>
      <c r="R9" s="695"/>
      <c r="S9" s="696"/>
    </row>
    <row r="10" spans="1:19">
      <c r="A10" s="697" t="s">
        <v>394</v>
      </c>
      <c r="B10" s="698" t="s">
        <v>395</v>
      </c>
      <c r="C10" s="699" t="s">
        <v>396</v>
      </c>
      <c r="D10" s="699" t="s">
        <v>397</v>
      </c>
      <c r="E10" s="699" t="s">
        <v>398</v>
      </c>
      <c r="F10" s="315" t="s">
        <v>399</v>
      </c>
      <c r="G10" s="315"/>
      <c r="H10" s="315"/>
      <c r="I10" s="316" t="s">
        <v>400</v>
      </c>
      <c r="K10" s="700"/>
      <c r="L10" s="703"/>
      <c r="M10" s="706"/>
      <c r="N10" s="706"/>
      <c r="O10" s="706"/>
      <c r="P10" s="317"/>
      <c r="Q10" s="318"/>
      <c r="R10" s="319"/>
      <c r="S10" s="320"/>
    </row>
    <row r="11" spans="1:19" ht="24">
      <c r="A11" s="697"/>
      <c r="B11" s="698"/>
      <c r="C11" s="699"/>
      <c r="D11" s="699"/>
      <c r="E11" s="699"/>
      <c r="F11" s="321" t="s">
        <v>401</v>
      </c>
      <c r="G11" s="321" t="s">
        <v>402</v>
      </c>
      <c r="H11" s="322" t="s">
        <v>403</v>
      </c>
      <c r="I11" s="316"/>
      <c r="K11" s="701"/>
      <c r="L11" s="704"/>
      <c r="M11" s="707"/>
      <c r="N11" s="707"/>
      <c r="O11" s="707"/>
      <c r="P11" s="321"/>
      <c r="Q11" s="321"/>
      <c r="R11" s="323"/>
      <c r="S11" s="324"/>
    </row>
    <row r="12" spans="1:19">
      <c r="A12" s="697"/>
      <c r="B12" s="698"/>
      <c r="C12" s="699"/>
      <c r="D12" s="699"/>
      <c r="E12" s="699"/>
      <c r="F12" s="325">
        <v>41821</v>
      </c>
      <c r="G12" s="325">
        <v>44287</v>
      </c>
      <c r="H12" s="322"/>
      <c r="I12" s="316" t="s">
        <v>404</v>
      </c>
      <c r="K12" s="702"/>
      <c r="L12" s="705"/>
      <c r="M12" s="708"/>
      <c r="N12" s="708"/>
      <c r="O12" s="708"/>
      <c r="P12" s="325"/>
      <c r="Q12" s="325"/>
      <c r="R12" s="326"/>
      <c r="S12" s="316"/>
    </row>
    <row r="13" spans="1:19">
      <c r="A13" s="521" t="s">
        <v>509</v>
      </c>
      <c r="B13" s="328"/>
      <c r="C13" s="328"/>
      <c r="D13" s="328"/>
      <c r="E13" s="329"/>
      <c r="F13" s="328"/>
      <c r="G13" s="328"/>
      <c r="H13" s="328"/>
      <c r="I13" s="330"/>
      <c r="K13" s="331"/>
      <c r="L13" s="332"/>
      <c r="M13" s="332"/>
      <c r="N13" s="332"/>
      <c r="O13" s="333"/>
      <c r="P13" s="332"/>
      <c r="Q13" s="332"/>
      <c r="R13" s="332"/>
      <c r="S13" s="334"/>
    </row>
    <row r="14" spans="1:19">
      <c r="A14" s="335" t="s">
        <v>405</v>
      </c>
      <c r="B14" s="336" t="s">
        <v>406</v>
      </c>
      <c r="C14" s="329">
        <v>29.8</v>
      </c>
      <c r="D14" s="329">
        <f>26.939+0.253*C14</f>
        <v>34.478400000000001</v>
      </c>
      <c r="E14" s="329"/>
      <c r="F14" s="329">
        <v>270.23700000000002</v>
      </c>
      <c r="G14" s="337">
        <v>399.11700000000002</v>
      </c>
      <c r="H14" s="338">
        <f>G14/F14</f>
        <v>1.4769147082005794</v>
      </c>
      <c r="I14" s="339">
        <f>TRUNC((D14*H14),2)</f>
        <v>50.92</v>
      </c>
      <c r="K14" s="340"/>
      <c r="L14" s="341"/>
      <c r="M14" s="342"/>
      <c r="N14" s="333"/>
      <c r="O14" s="333"/>
      <c r="P14" s="333"/>
      <c r="Q14" s="337"/>
      <c r="R14" s="343"/>
      <c r="S14" s="344"/>
    </row>
    <row r="15" spans="1:19">
      <c r="A15" s="335"/>
      <c r="B15" s="336"/>
      <c r="C15" s="329"/>
      <c r="D15" s="329"/>
      <c r="E15" s="329"/>
      <c r="F15" s="329"/>
      <c r="G15" s="337"/>
      <c r="H15" s="338"/>
      <c r="I15" s="339"/>
      <c r="K15" s="340"/>
      <c r="L15" s="341"/>
      <c r="M15" s="342"/>
      <c r="N15" s="333"/>
      <c r="O15" s="333"/>
      <c r="P15" s="333"/>
      <c r="Q15" s="337"/>
      <c r="R15" s="343"/>
      <c r="S15" s="344"/>
    </row>
    <row r="16" spans="1:19" ht="15.75" thickBot="1">
      <c r="A16" s="335"/>
      <c r="B16" s="336"/>
      <c r="C16" s="329"/>
      <c r="D16" s="329"/>
      <c r="E16" s="329"/>
      <c r="F16" s="329"/>
      <c r="G16" s="329"/>
      <c r="H16" s="338"/>
      <c r="I16" s="345"/>
      <c r="K16" s="340"/>
      <c r="L16" s="341"/>
      <c r="M16" s="333"/>
      <c r="N16" s="333"/>
      <c r="O16" s="346"/>
      <c r="P16" s="346"/>
      <c r="Q16" s="346"/>
      <c r="R16" s="343"/>
      <c r="S16" s="347"/>
    </row>
    <row r="17" spans="1:19">
      <c r="A17" s="335"/>
      <c r="B17" s="336"/>
      <c r="C17" s="329"/>
      <c r="D17" s="329"/>
      <c r="E17" s="329"/>
      <c r="F17" s="329"/>
      <c r="G17" s="329"/>
      <c r="H17" s="338"/>
      <c r="I17" s="345"/>
      <c r="K17" s="340"/>
      <c r="L17" s="341"/>
      <c r="M17" s="333"/>
      <c r="N17" s="348"/>
      <c r="O17" s="709"/>
      <c r="P17" s="703"/>
      <c r="Q17" s="712"/>
      <c r="R17" s="349"/>
      <c r="S17" s="347"/>
    </row>
    <row r="18" spans="1:19">
      <c r="A18" s="335"/>
      <c r="B18" s="336"/>
      <c r="C18" s="329"/>
      <c r="D18" s="329"/>
      <c r="E18" s="329"/>
      <c r="F18" s="321" t="s">
        <v>401</v>
      </c>
      <c r="G18" s="321" t="s">
        <v>402</v>
      </c>
      <c r="H18" s="350"/>
      <c r="I18" s="351"/>
      <c r="K18" s="340"/>
      <c r="L18" s="341"/>
      <c r="M18" s="333"/>
      <c r="N18" s="348"/>
      <c r="O18" s="710"/>
      <c r="P18" s="705"/>
      <c r="Q18" s="713"/>
      <c r="R18" s="352"/>
      <c r="S18" s="353"/>
    </row>
    <row r="19" spans="1:19" ht="15.75" thickBot="1">
      <c r="A19" s="354" t="s">
        <v>407</v>
      </c>
      <c r="B19" s="355" t="s">
        <v>408</v>
      </c>
      <c r="C19" s="356" t="s">
        <v>409</v>
      </c>
      <c r="D19" s="356"/>
      <c r="E19" s="329"/>
      <c r="F19" s="325">
        <v>44044</v>
      </c>
      <c r="G19" s="325">
        <v>44317</v>
      </c>
      <c r="H19" s="357"/>
      <c r="I19" s="358"/>
      <c r="K19" s="359"/>
      <c r="L19" s="360"/>
      <c r="M19" s="361"/>
      <c r="N19" s="362"/>
      <c r="O19" s="711"/>
      <c r="P19" s="363"/>
      <c r="Q19" s="364"/>
      <c r="R19" s="365"/>
      <c r="S19" s="366"/>
    </row>
    <row r="20" spans="1:19">
      <c r="A20" s="335"/>
      <c r="B20" s="367"/>
      <c r="C20" s="329"/>
      <c r="D20" s="329"/>
      <c r="E20" s="329"/>
      <c r="F20" s="329"/>
      <c r="G20" s="329"/>
      <c r="H20" s="338"/>
      <c r="I20" s="339"/>
      <c r="K20" s="340"/>
      <c r="L20" s="368"/>
      <c r="M20" s="333"/>
      <c r="N20" s="333"/>
      <c r="O20" s="337"/>
      <c r="P20" s="337"/>
      <c r="Q20" s="337"/>
      <c r="R20" s="343"/>
      <c r="S20" s="344"/>
    </row>
    <row r="21" spans="1:19">
      <c r="A21" s="335"/>
      <c r="B21" s="367"/>
      <c r="C21" s="329"/>
      <c r="D21" s="329"/>
      <c r="E21" s="329"/>
      <c r="F21" s="337"/>
      <c r="G21" s="337"/>
      <c r="H21" s="338"/>
      <c r="I21" s="339"/>
      <c r="K21" s="340"/>
      <c r="L21" s="368"/>
      <c r="M21" s="333"/>
      <c r="N21" s="333"/>
      <c r="O21" s="333"/>
      <c r="P21" s="333"/>
      <c r="Q21" s="333"/>
      <c r="R21" s="343"/>
      <c r="S21" s="344"/>
    </row>
    <row r="22" spans="1:19">
      <c r="A22" s="327"/>
      <c r="B22" s="367"/>
      <c r="C22" s="329"/>
      <c r="D22" s="329"/>
      <c r="E22" s="329"/>
      <c r="F22" s="329"/>
      <c r="G22" s="338"/>
      <c r="H22" s="369"/>
      <c r="I22" s="370"/>
      <c r="K22" s="340"/>
      <c r="L22" s="368"/>
      <c r="M22" s="333"/>
      <c r="N22" s="333"/>
      <c r="O22" s="333"/>
      <c r="P22" s="333"/>
      <c r="Q22" s="371"/>
      <c r="R22" s="372"/>
      <c r="S22" s="373"/>
    </row>
    <row r="23" spans="1:19">
      <c r="A23" s="335" t="s">
        <v>410</v>
      </c>
      <c r="B23" s="367"/>
      <c r="C23" s="329"/>
      <c r="D23" s="329"/>
      <c r="E23" s="329"/>
      <c r="F23" s="329"/>
      <c r="G23" s="338"/>
      <c r="H23" s="369"/>
      <c r="I23" s="370"/>
      <c r="K23" s="340"/>
      <c r="L23" s="368"/>
      <c r="M23" s="333"/>
      <c r="N23" s="333"/>
      <c r="O23" s="333"/>
      <c r="P23" s="333"/>
      <c r="Q23" s="371"/>
      <c r="R23" s="372"/>
      <c r="S23" s="373"/>
    </row>
    <row r="24" spans="1:19">
      <c r="A24" s="327"/>
      <c r="B24" s="328"/>
      <c r="C24" s="328"/>
      <c r="D24" s="328"/>
      <c r="E24" s="328"/>
      <c r="F24" s="328"/>
      <c r="G24" s="328"/>
      <c r="H24" s="328"/>
      <c r="I24" s="330"/>
      <c r="K24" s="374"/>
      <c r="L24" s="375"/>
      <c r="M24" s="375"/>
      <c r="N24" s="375"/>
      <c r="O24" s="375"/>
      <c r="P24" s="375"/>
      <c r="Q24" s="376"/>
      <c r="R24" s="377"/>
      <c r="S24" s="378"/>
    </row>
    <row r="25" spans="1:19" ht="15.75" thickBot="1">
      <c r="A25" s="714" t="s">
        <v>14</v>
      </c>
      <c r="B25" s="715"/>
      <c r="C25" s="715"/>
      <c r="D25" s="715"/>
      <c r="E25" s="715"/>
      <c r="F25" s="715"/>
      <c r="G25" s="715"/>
      <c r="H25" s="328"/>
      <c r="I25" s="379">
        <f>SUM(I14:I21)</f>
        <v>50.92</v>
      </c>
      <c r="K25" s="716"/>
      <c r="L25" s="717"/>
      <c r="M25" s="717"/>
      <c r="N25" s="717"/>
      <c r="O25" s="717"/>
      <c r="P25" s="717"/>
      <c r="Q25" s="718"/>
      <c r="R25" s="380"/>
      <c r="S25" s="381"/>
    </row>
    <row r="26" spans="1:19" ht="15.75" thickBot="1">
      <c r="A26" s="382"/>
      <c r="B26" s="383"/>
      <c r="C26" s="383"/>
      <c r="D26" s="383"/>
      <c r="E26" s="383"/>
      <c r="F26" s="383"/>
      <c r="G26" s="383"/>
      <c r="H26" s="383"/>
      <c r="I26" s="384"/>
      <c r="K26" s="385"/>
      <c r="L26" s="386"/>
      <c r="M26" s="386"/>
      <c r="N26" s="386"/>
      <c r="O26" s="386"/>
      <c r="P26" s="386"/>
      <c r="Q26" s="386"/>
      <c r="R26" s="386"/>
      <c r="S26" s="387"/>
    </row>
    <row r="27" spans="1:19">
      <c r="A27" s="388" t="s">
        <v>411</v>
      </c>
      <c r="B27" s="719" t="s">
        <v>412</v>
      </c>
      <c r="C27" s="720"/>
      <c r="D27" s="721"/>
      <c r="E27" s="383"/>
      <c r="F27" s="383"/>
      <c r="G27" s="383"/>
      <c r="H27" s="383"/>
      <c r="I27" s="384"/>
      <c r="K27" s="388"/>
      <c r="L27" s="719"/>
      <c r="M27" s="720"/>
      <c r="N27" s="721"/>
      <c r="O27" s="383"/>
      <c r="P27" s="383"/>
      <c r="Q27" s="383"/>
      <c r="R27" s="383"/>
      <c r="S27" s="384"/>
    </row>
    <row r="28" spans="1:19">
      <c r="A28" s="389" t="s">
        <v>405</v>
      </c>
      <c r="B28" s="722" t="s">
        <v>406</v>
      </c>
      <c r="C28" s="722"/>
      <c r="D28" s="723"/>
      <c r="E28" s="383"/>
      <c r="F28" s="383"/>
      <c r="G28" s="383"/>
      <c r="H28" s="383"/>
      <c r="I28" s="384"/>
      <c r="K28" s="389"/>
      <c r="L28" s="724"/>
      <c r="M28" s="725"/>
      <c r="N28" s="726"/>
      <c r="O28" s="383"/>
      <c r="P28" s="383"/>
      <c r="Q28" s="383"/>
      <c r="R28" s="383"/>
      <c r="S28" s="384"/>
    </row>
    <row r="29" spans="1:19">
      <c r="A29" s="389" t="s">
        <v>413</v>
      </c>
      <c r="B29" s="722" t="s">
        <v>414</v>
      </c>
      <c r="C29" s="722"/>
      <c r="D29" s="723"/>
      <c r="E29" s="383"/>
      <c r="F29" s="383"/>
      <c r="G29" s="383"/>
      <c r="H29" s="383"/>
      <c r="I29" s="390"/>
      <c r="K29" s="389"/>
      <c r="L29" s="724"/>
      <c r="M29" s="725"/>
      <c r="N29" s="726"/>
      <c r="O29" s="383"/>
      <c r="P29" s="383"/>
      <c r="Q29" s="383"/>
      <c r="R29" s="383"/>
      <c r="S29" s="384"/>
    </row>
    <row r="30" spans="1:19" ht="15.75" thickBot="1">
      <c r="A30" s="391" t="s">
        <v>415</v>
      </c>
      <c r="B30" s="727" t="s">
        <v>416</v>
      </c>
      <c r="C30" s="727"/>
      <c r="D30" s="728"/>
      <c r="E30" s="383"/>
      <c r="F30" s="383"/>
      <c r="G30" s="383"/>
      <c r="H30" s="383"/>
      <c r="I30" s="384"/>
      <c r="K30" s="391"/>
      <c r="L30" s="729"/>
      <c r="M30" s="730"/>
      <c r="N30" s="731"/>
      <c r="O30" s="383"/>
      <c r="P30" s="383"/>
      <c r="Q30" s="383"/>
      <c r="R30" s="383"/>
      <c r="S30" s="384"/>
    </row>
    <row r="31" spans="1:19" ht="15.75" thickBot="1">
      <c r="A31" s="392"/>
      <c r="B31" s="393"/>
      <c r="C31" s="393"/>
      <c r="D31" s="393"/>
      <c r="E31" s="393"/>
      <c r="F31" s="393"/>
      <c r="G31" s="393"/>
      <c r="H31" s="393"/>
      <c r="I31" s="394"/>
      <c r="K31" s="392"/>
      <c r="L31" s="393"/>
      <c r="M31" s="393"/>
      <c r="N31" s="393"/>
      <c r="O31" s="393"/>
      <c r="P31" s="393"/>
      <c r="Q31" s="393"/>
      <c r="R31" s="393"/>
      <c r="S31" s="394"/>
    </row>
    <row r="32" spans="1:19" ht="15.75" thickBot="1"/>
    <row r="33" spans="1:19" ht="15.75" thickBot="1">
      <c r="A33" s="679" t="s">
        <v>417</v>
      </c>
      <c r="B33" s="680"/>
      <c r="C33" s="680"/>
      <c r="D33" s="680"/>
      <c r="E33" s="680"/>
      <c r="F33" s="680"/>
      <c r="G33" s="680"/>
      <c r="H33" s="680"/>
      <c r="I33" s="681"/>
    </row>
    <row r="34" spans="1:19">
      <c r="A34" s="682" t="s">
        <v>386</v>
      </c>
      <c r="B34" s="732"/>
      <c r="C34" s="732"/>
      <c r="D34" s="732"/>
      <c r="E34" s="732"/>
      <c r="F34" s="732"/>
      <c r="G34" s="732"/>
      <c r="H34" s="732"/>
      <c r="I34" s="684"/>
      <c r="K34" s="679" t="s">
        <v>417</v>
      </c>
      <c r="L34" s="680"/>
      <c r="M34" s="680"/>
      <c r="N34" s="680"/>
      <c r="O34" s="680"/>
      <c r="P34" s="680"/>
      <c r="Q34" s="680"/>
      <c r="R34" s="680"/>
      <c r="S34" s="681"/>
    </row>
    <row r="35" spans="1:19" ht="15.75" thickBot="1">
      <c r="A35" s="685" t="s">
        <v>387</v>
      </c>
      <c r="B35" s="686"/>
      <c r="C35" s="686"/>
      <c r="D35" s="686"/>
      <c r="E35" s="686"/>
      <c r="F35" s="686"/>
      <c r="G35" s="686"/>
      <c r="H35" s="686"/>
      <c r="I35" s="687"/>
      <c r="K35" s="682" t="s">
        <v>386</v>
      </c>
      <c r="L35" s="683"/>
      <c r="M35" s="683"/>
      <c r="N35" s="683"/>
      <c r="O35" s="683"/>
      <c r="P35" s="683"/>
      <c r="Q35" s="683"/>
      <c r="R35" s="683"/>
      <c r="S35" s="684"/>
    </row>
    <row r="36" spans="1:19" ht="15.75" thickBot="1">
      <c r="A36" s="688" t="s">
        <v>418</v>
      </c>
      <c r="B36" s="689"/>
      <c r="C36" s="689"/>
      <c r="D36" s="689"/>
      <c r="E36" s="689"/>
      <c r="F36" s="689"/>
      <c r="G36" s="689"/>
      <c r="H36" s="689"/>
      <c r="I36" s="690"/>
      <c r="K36" s="685" t="s">
        <v>387</v>
      </c>
      <c r="L36" s="686"/>
      <c r="M36" s="686"/>
      <c r="N36" s="686"/>
      <c r="O36" s="686"/>
      <c r="P36" s="686"/>
      <c r="Q36" s="686"/>
      <c r="R36" s="686"/>
      <c r="S36" s="687"/>
    </row>
    <row r="37" spans="1:19" ht="15.75" thickBot="1">
      <c r="A37" s="310"/>
      <c r="B37" s="311"/>
      <c r="C37" s="311"/>
      <c r="D37" s="311"/>
      <c r="E37" s="311"/>
      <c r="F37" s="311"/>
      <c r="G37" s="311"/>
      <c r="H37" s="311"/>
      <c r="I37" s="312"/>
      <c r="K37" s="688" t="s">
        <v>419</v>
      </c>
      <c r="L37" s="689"/>
      <c r="M37" s="689"/>
      <c r="N37" s="689"/>
      <c r="O37" s="689"/>
      <c r="P37" s="689"/>
      <c r="Q37" s="689"/>
      <c r="R37" s="689"/>
      <c r="S37" s="690"/>
    </row>
    <row r="38" spans="1:19">
      <c r="A38" s="313" t="s">
        <v>389</v>
      </c>
      <c r="B38" s="314" t="s">
        <v>420</v>
      </c>
      <c r="C38" s="311"/>
      <c r="D38" s="311"/>
      <c r="E38" s="311"/>
      <c r="F38" s="311"/>
      <c r="G38" s="311"/>
      <c r="H38" s="311"/>
      <c r="I38" s="312"/>
      <c r="K38" s="310"/>
      <c r="L38" s="311"/>
      <c r="M38" s="311"/>
      <c r="N38" s="311"/>
      <c r="O38" s="311"/>
      <c r="P38" s="311"/>
      <c r="Q38" s="311"/>
      <c r="R38" s="311"/>
      <c r="S38" s="312"/>
    </row>
    <row r="39" spans="1:19">
      <c r="A39" s="313" t="s">
        <v>391</v>
      </c>
      <c r="B39" s="314" t="s">
        <v>392</v>
      </c>
      <c r="C39" s="311"/>
      <c r="D39" s="311"/>
      <c r="E39" s="311"/>
      <c r="F39" s="311"/>
      <c r="G39" s="311"/>
      <c r="H39" s="311"/>
      <c r="I39" s="312"/>
      <c r="K39" s="313" t="s">
        <v>389</v>
      </c>
      <c r="L39" s="314" t="s">
        <v>421</v>
      </c>
      <c r="M39" s="311"/>
      <c r="N39" s="311"/>
      <c r="O39" s="311"/>
      <c r="P39" s="311"/>
      <c r="Q39" s="311"/>
      <c r="R39" s="311"/>
      <c r="S39" s="312"/>
    </row>
    <row r="40" spans="1:19" ht="15.75" thickBot="1">
      <c r="A40" s="310"/>
      <c r="B40" s="314"/>
      <c r="C40" s="311"/>
      <c r="D40" s="311"/>
      <c r="E40" s="311"/>
      <c r="F40" s="311"/>
      <c r="G40" s="311"/>
      <c r="H40" s="311"/>
      <c r="I40" s="312"/>
      <c r="K40" s="313" t="s">
        <v>391</v>
      </c>
      <c r="L40" s="314" t="s">
        <v>392</v>
      </c>
      <c r="M40" s="311"/>
      <c r="N40" s="311"/>
      <c r="O40" s="311"/>
      <c r="P40" s="311"/>
      <c r="Q40" s="311"/>
      <c r="R40" s="311"/>
      <c r="S40" s="312"/>
    </row>
    <row r="41" spans="1:19" ht="15.75" thickBot="1">
      <c r="A41" s="694" t="s">
        <v>393</v>
      </c>
      <c r="B41" s="695"/>
      <c r="C41" s="695"/>
      <c r="D41" s="695"/>
      <c r="E41" s="695"/>
      <c r="F41" s="695"/>
      <c r="G41" s="695"/>
      <c r="H41" s="695"/>
      <c r="I41" s="696"/>
      <c r="K41" s="310"/>
      <c r="L41" s="314"/>
      <c r="M41" s="311"/>
      <c r="N41" s="311"/>
      <c r="O41" s="311"/>
      <c r="P41" s="311"/>
      <c r="Q41" s="311"/>
      <c r="R41" s="311"/>
      <c r="S41" s="312"/>
    </row>
    <row r="42" spans="1:19" ht="15.75" customHeight="1" thickBot="1">
      <c r="A42" s="700" t="s">
        <v>394</v>
      </c>
      <c r="B42" s="703" t="s">
        <v>395</v>
      </c>
      <c r="C42" s="706" t="s">
        <v>396</v>
      </c>
      <c r="D42" s="706" t="s">
        <v>397</v>
      </c>
      <c r="E42" s="706" t="s">
        <v>422</v>
      </c>
      <c r="F42" s="317" t="s">
        <v>399</v>
      </c>
      <c r="G42" s="318"/>
      <c r="H42" s="319"/>
      <c r="I42" s="320" t="s">
        <v>400</v>
      </c>
      <c r="K42" s="694" t="s">
        <v>393</v>
      </c>
      <c r="L42" s="695"/>
      <c r="M42" s="695"/>
      <c r="N42" s="695"/>
      <c r="O42" s="695"/>
      <c r="P42" s="695"/>
      <c r="Q42" s="695"/>
      <c r="R42" s="695"/>
      <c r="S42" s="696"/>
    </row>
    <row r="43" spans="1:19" ht="24">
      <c r="A43" s="701"/>
      <c r="B43" s="704"/>
      <c r="C43" s="707"/>
      <c r="D43" s="707"/>
      <c r="E43" s="707"/>
      <c r="F43" s="564" t="s">
        <v>401</v>
      </c>
      <c r="G43" s="564" t="s">
        <v>402</v>
      </c>
      <c r="H43" s="323" t="s">
        <v>403</v>
      </c>
      <c r="I43" s="324"/>
      <c r="K43" s="700" t="s">
        <v>394</v>
      </c>
      <c r="L43" s="703" t="s">
        <v>395</v>
      </c>
      <c r="M43" s="706" t="s">
        <v>396</v>
      </c>
      <c r="N43" s="706" t="s">
        <v>397</v>
      </c>
      <c r="O43" s="706" t="s">
        <v>422</v>
      </c>
      <c r="P43" s="317" t="s">
        <v>399</v>
      </c>
      <c r="Q43" s="318"/>
      <c r="R43" s="319"/>
      <c r="S43" s="320" t="s">
        <v>400</v>
      </c>
    </row>
    <row r="44" spans="1:19" ht="24">
      <c r="A44" s="702"/>
      <c r="B44" s="705"/>
      <c r="C44" s="708"/>
      <c r="D44" s="708"/>
      <c r="E44" s="708"/>
      <c r="F44" s="325">
        <v>41821</v>
      </c>
      <c r="G44" s="325">
        <v>44287</v>
      </c>
      <c r="H44" s="563"/>
      <c r="I44" s="316" t="s">
        <v>404</v>
      </c>
      <c r="K44" s="701"/>
      <c r="L44" s="704"/>
      <c r="M44" s="707"/>
      <c r="N44" s="707"/>
      <c r="O44" s="707"/>
      <c r="P44" s="321" t="s">
        <v>401</v>
      </c>
      <c r="Q44" s="321" t="s">
        <v>402</v>
      </c>
      <c r="R44" s="323" t="s">
        <v>403</v>
      </c>
      <c r="S44" s="324"/>
    </row>
    <row r="45" spans="1:19">
      <c r="A45" s="331"/>
      <c r="B45" s="332"/>
      <c r="C45" s="332"/>
      <c r="D45" s="332"/>
      <c r="E45" s="333"/>
      <c r="F45" s="332"/>
      <c r="G45" s="332"/>
      <c r="H45" s="332"/>
      <c r="I45" s="334"/>
      <c r="K45" s="702"/>
      <c r="L45" s="705"/>
      <c r="M45" s="708"/>
      <c r="N45" s="708"/>
      <c r="O45" s="708"/>
      <c r="P45" s="325">
        <v>41821</v>
      </c>
      <c r="Q45" s="325">
        <v>44287</v>
      </c>
      <c r="R45" s="326"/>
      <c r="S45" s="316" t="s">
        <v>404</v>
      </c>
    </row>
    <row r="46" spans="1:19">
      <c r="A46" s="374" t="s">
        <v>405</v>
      </c>
      <c r="B46" s="341" t="s">
        <v>406</v>
      </c>
      <c r="C46" s="342">
        <v>1555</v>
      </c>
      <c r="D46" s="333">
        <f>26.939+0.253*C46</f>
        <v>420.35400000000004</v>
      </c>
      <c r="E46" s="333">
        <f>D46/(1-0.17)</f>
        <v>506.45060240963863</v>
      </c>
      <c r="F46" s="333">
        <v>270.23700000000002</v>
      </c>
      <c r="G46" s="337">
        <v>399.11700000000002</v>
      </c>
      <c r="H46" s="343">
        <f>G46/F46</f>
        <v>1.4769147082005794</v>
      </c>
      <c r="I46" s="344">
        <f>TRUNC((E46*H46),2)</f>
        <v>747.98</v>
      </c>
      <c r="K46" s="331"/>
      <c r="L46" s="332"/>
      <c r="M46" s="332"/>
      <c r="N46" s="332"/>
      <c r="O46" s="333"/>
      <c r="P46" s="332"/>
      <c r="Q46" s="332"/>
      <c r="R46" s="332"/>
      <c r="S46" s="334"/>
    </row>
    <row r="47" spans="1:19">
      <c r="A47" s="374"/>
      <c r="B47" s="341"/>
      <c r="C47" s="342"/>
      <c r="D47" s="333"/>
      <c r="E47" s="333"/>
      <c r="F47" s="333"/>
      <c r="G47" s="337"/>
      <c r="H47" s="343"/>
      <c r="I47" s="344"/>
      <c r="K47" s="374" t="s">
        <v>405</v>
      </c>
      <c r="L47" s="341" t="s">
        <v>406</v>
      </c>
      <c r="M47" s="342">
        <v>1437</v>
      </c>
      <c r="N47" s="333">
        <f>26.939+0.253*M47</f>
        <v>390.5</v>
      </c>
      <c r="O47" s="333">
        <f>N47/(1-0.17)</f>
        <v>470.48192771084342</v>
      </c>
      <c r="P47" s="333">
        <v>270.23700000000002</v>
      </c>
      <c r="Q47" s="337">
        <v>399.11700000000002</v>
      </c>
      <c r="R47" s="343">
        <f>Q47/P47</f>
        <v>1.4769147082005794</v>
      </c>
      <c r="S47" s="344">
        <f>TRUNC((O47*R47),2)</f>
        <v>694.86</v>
      </c>
    </row>
    <row r="48" spans="1:19" ht="15.75" thickBot="1">
      <c r="A48" s="374"/>
      <c r="B48" s="341"/>
      <c r="C48" s="333"/>
      <c r="D48" s="333"/>
      <c r="E48" s="346"/>
      <c r="F48" s="346"/>
      <c r="G48" s="346"/>
      <c r="H48" s="343"/>
      <c r="I48" s="347"/>
      <c r="K48" s="374"/>
      <c r="L48" s="341"/>
      <c r="M48" s="342"/>
      <c r="N48" s="333"/>
      <c r="O48" s="333"/>
      <c r="P48" s="333"/>
      <c r="Q48" s="337"/>
      <c r="R48" s="343"/>
      <c r="S48" s="344"/>
    </row>
    <row r="49" spans="1:19" ht="15.75" customHeight="1" thickBot="1">
      <c r="A49" s="374"/>
      <c r="B49" s="341"/>
      <c r="C49" s="333"/>
      <c r="D49" s="348"/>
      <c r="E49" s="709" t="s">
        <v>423</v>
      </c>
      <c r="F49" s="703" t="s">
        <v>401</v>
      </c>
      <c r="G49" s="712" t="s">
        <v>402</v>
      </c>
      <c r="H49" s="349"/>
      <c r="I49" s="347"/>
      <c r="K49" s="374"/>
      <c r="L49" s="341"/>
      <c r="M49" s="333"/>
      <c r="N49" s="333"/>
      <c r="O49" s="346"/>
      <c r="P49" s="346"/>
      <c r="Q49" s="346"/>
      <c r="R49" s="343"/>
      <c r="S49" s="347"/>
    </row>
    <row r="50" spans="1:19">
      <c r="A50" s="374"/>
      <c r="B50" s="341"/>
      <c r="C50" s="333"/>
      <c r="D50" s="348"/>
      <c r="E50" s="710"/>
      <c r="F50" s="705"/>
      <c r="G50" s="713"/>
      <c r="H50" s="352"/>
      <c r="I50" s="353"/>
      <c r="K50" s="374"/>
      <c r="L50" s="341"/>
      <c r="M50" s="333"/>
      <c r="N50" s="348"/>
      <c r="O50" s="709" t="s">
        <v>423</v>
      </c>
      <c r="P50" s="703" t="s">
        <v>401</v>
      </c>
      <c r="Q50" s="712" t="s">
        <v>402</v>
      </c>
      <c r="R50" s="349"/>
      <c r="S50" s="347"/>
    </row>
    <row r="51" spans="1:19" ht="15.75" thickBot="1">
      <c r="A51" s="395" t="s">
        <v>407</v>
      </c>
      <c r="B51" s="360" t="s">
        <v>408</v>
      </c>
      <c r="C51" s="361" t="s">
        <v>409</v>
      </c>
      <c r="D51" s="362"/>
      <c r="E51" s="711"/>
      <c r="F51" s="363">
        <v>44075</v>
      </c>
      <c r="G51" s="325">
        <v>44317</v>
      </c>
      <c r="H51" s="365"/>
      <c r="I51" s="366"/>
      <c r="K51" s="374"/>
      <c r="L51" s="341"/>
      <c r="M51" s="333"/>
      <c r="N51" s="348"/>
      <c r="O51" s="710"/>
      <c r="P51" s="705"/>
      <c r="Q51" s="713"/>
      <c r="R51" s="352"/>
      <c r="S51" s="353"/>
    </row>
    <row r="52" spans="1:19" ht="15.75" thickBot="1">
      <c r="A52" s="374" t="s">
        <v>424</v>
      </c>
      <c r="B52" s="368">
        <v>5.0999999999999996</v>
      </c>
      <c r="C52" s="333">
        <v>5</v>
      </c>
      <c r="D52" s="333">
        <f>B52*C52</f>
        <v>25.5</v>
      </c>
      <c r="E52" s="337">
        <f>D52/25</f>
        <v>1.02</v>
      </c>
      <c r="F52" s="337">
        <v>365.25700000000001</v>
      </c>
      <c r="G52" s="337">
        <v>399.11700000000002</v>
      </c>
      <c r="H52" s="343">
        <f>G52/F52</f>
        <v>1.0927018510254425</v>
      </c>
      <c r="I52" s="344">
        <f>TRUNC((E52*H52),2)</f>
        <v>1.1100000000000001</v>
      </c>
      <c r="K52" s="395" t="s">
        <v>407</v>
      </c>
      <c r="L52" s="360" t="s">
        <v>408</v>
      </c>
      <c r="M52" s="361" t="s">
        <v>409</v>
      </c>
      <c r="N52" s="362"/>
      <c r="O52" s="711"/>
      <c r="P52" s="325">
        <v>41821</v>
      </c>
      <c r="Q52" s="325">
        <v>44317</v>
      </c>
      <c r="R52" s="365"/>
      <c r="S52" s="366"/>
    </row>
    <row r="53" spans="1:19">
      <c r="A53" s="374" t="s">
        <v>425</v>
      </c>
      <c r="B53" s="368">
        <v>4.0999999999999996</v>
      </c>
      <c r="C53" s="333">
        <v>5</v>
      </c>
      <c r="D53" s="333">
        <f>B53*C53</f>
        <v>20.5</v>
      </c>
      <c r="E53" s="337">
        <f>D53/25</f>
        <v>0.82</v>
      </c>
      <c r="F53" s="337">
        <v>365.25700000000001</v>
      </c>
      <c r="G53" s="337">
        <v>399.11700000000002</v>
      </c>
      <c r="H53" s="343">
        <f>G53/F53</f>
        <v>1.0927018510254425</v>
      </c>
      <c r="I53" s="344">
        <f>TRUNC((E53*H53),2)</f>
        <v>0.89</v>
      </c>
      <c r="K53" s="374" t="s">
        <v>424</v>
      </c>
      <c r="L53" s="368">
        <v>5.0999999999999996</v>
      </c>
      <c r="M53" s="333">
        <v>5</v>
      </c>
      <c r="N53" s="333">
        <f>L53*M53</f>
        <v>25.5</v>
      </c>
      <c r="O53" s="337">
        <f>N53/25</f>
        <v>1.02</v>
      </c>
      <c r="P53" s="337">
        <v>365.25700000000001</v>
      </c>
      <c r="Q53" s="337">
        <v>399.11700000000002</v>
      </c>
      <c r="R53" s="343">
        <f>Q53/P53</f>
        <v>1.0927018510254425</v>
      </c>
      <c r="S53" s="344">
        <f>TRUNC((O53*R53),2)</f>
        <v>1.1100000000000001</v>
      </c>
    </row>
    <row r="54" spans="1:19">
      <c r="A54" s="374" t="s">
        <v>426</v>
      </c>
      <c r="B54" s="368">
        <v>4.0999999999999996</v>
      </c>
      <c r="C54" s="333">
        <v>5</v>
      </c>
      <c r="D54" s="333">
        <f>B54*C54</f>
        <v>20.5</v>
      </c>
      <c r="E54" s="337">
        <f>D54/25</f>
        <v>0.82</v>
      </c>
      <c r="F54" s="337">
        <v>365.25700000000001</v>
      </c>
      <c r="G54" s="337">
        <v>399.11700000000002</v>
      </c>
      <c r="H54" s="343">
        <f>G54/F54</f>
        <v>1.0927018510254425</v>
      </c>
      <c r="I54" s="344">
        <f>TRUNC((E54*H54),2)</f>
        <v>0.89</v>
      </c>
      <c r="K54" s="374" t="s">
        <v>425</v>
      </c>
      <c r="L54" s="368">
        <v>4.0999999999999996</v>
      </c>
      <c r="M54" s="333">
        <v>5</v>
      </c>
      <c r="N54" s="333">
        <f>L54*M54</f>
        <v>20.5</v>
      </c>
      <c r="O54" s="337">
        <f>N54/25</f>
        <v>0.82</v>
      </c>
      <c r="P54" s="337">
        <v>365.25700000000001</v>
      </c>
      <c r="Q54" s="337">
        <v>399.11700000000002</v>
      </c>
      <c r="R54" s="343">
        <f>Q54/P54</f>
        <v>1.0927018510254425</v>
      </c>
      <c r="S54" s="344">
        <f>TRUNC((O54*R54),2)</f>
        <v>0.89</v>
      </c>
    </row>
    <row r="55" spans="1:19">
      <c r="A55" s="374"/>
      <c r="B55" s="368"/>
      <c r="C55" s="333"/>
      <c r="D55" s="333"/>
      <c r="E55" s="337"/>
      <c r="F55" s="337"/>
      <c r="G55" s="337"/>
      <c r="H55" s="343"/>
      <c r="I55" s="344"/>
      <c r="K55" s="374" t="s">
        <v>426</v>
      </c>
      <c r="L55" s="368">
        <v>4.0999999999999996</v>
      </c>
      <c r="M55" s="333">
        <v>5</v>
      </c>
      <c r="N55" s="333">
        <f>L55*M55</f>
        <v>20.5</v>
      </c>
      <c r="O55" s="337">
        <f>N55/25</f>
        <v>0.82</v>
      </c>
      <c r="P55" s="337">
        <v>365.25700000000001</v>
      </c>
      <c r="Q55" s="337">
        <v>399.11700000000002</v>
      </c>
      <c r="R55" s="343">
        <f>Q55/P55</f>
        <v>1.0927018510254425</v>
      </c>
      <c r="S55" s="344">
        <f>TRUNC((O55*R55),2)</f>
        <v>0.89</v>
      </c>
    </row>
    <row r="56" spans="1:19">
      <c r="A56" s="374"/>
      <c r="B56" s="368"/>
      <c r="C56" s="333"/>
      <c r="D56" s="333"/>
      <c r="E56" s="337"/>
      <c r="F56" s="337"/>
      <c r="G56" s="337"/>
      <c r="H56" s="343"/>
      <c r="I56" s="344"/>
      <c r="K56" s="374"/>
      <c r="L56" s="368"/>
      <c r="M56" s="333"/>
      <c r="N56" s="333"/>
      <c r="O56" s="337"/>
      <c r="P56" s="337"/>
      <c r="Q56" s="337"/>
      <c r="R56" s="343"/>
      <c r="S56" s="344"/>
    </row>
    <row r="57" spans="1:19">
      <c r="A57" s="374" t="s">
        <v>410</v>
      </c>
      <c r="B57" s="368"/>
      <c r="C57" s="333"/>
      <c r="D57" s="333"/>
      <c r="E57" s="333"/>
      <c r="F57" s="333"/>
      <c r="G57" s="371"/>
      <c r="H57" s="372"/>
      <c r="I57" s="373"/>
      <c r="K57" s="374"/>
      <c r="L57" s="368"/>
      <c r="M57" s="333"/>
      <c r="N57" s="333"/>
      <c r="O57" s="333"/>
      <c r="P57" s="333"/>
      <c r="Q57" s="371"/>
      <c r="R57" s="372"/>
      <c r="S57" s="373"/>
    </row>
    <row r="58" spans="1:19">
      <c r="A58" s="374"/>
      <c r="B58" s="375"/>
      <c r="C58" s="375"/>
      <c r="D58" s="375"/>
      <c r="E58" s="375"/>
      <c r="F58" s="375"/>
      <c r="G58" s="376"/>
      <c r="H58" s="377"/>
      <c r="I58" s="378"/>
      <c r="K58" s="374" t="s">
        <v>410</v>
      </c>
      <c r="L58" s="368"/>
      <c r="M58" s="333"/>
      <c r="N58" s="333"/>
      <c r="O58" s="333"/>
      <c r="P58" s="333"/>
      <c r="Q58" s="371"/>
      <c r="R58" s="372"/>
      <c r="S58" s="373"/>
    </row>
    <row r="59" spans="1:19" ht="15.75" thickBot="1">
      <c r="A59" s="716" t="s">
        <v>14</v>
      </c>
      <c r="B59" s="717"/>
      <c r="C59" s="717"/>
      <c r="D59" s="717"/>
      <c r="E59" s="717"/>
      <c r="F59" s="717"/>
      <c r="G59" s="718"/>
      <c r="H59" s="380"/>
      <c r="I59" s="381">
        <f>SUM(I46:I56)</f>
        <v>750.87</v>
      </c>
      <c r="K59" s="374"/>
      <c r="L59" s="375"/>
      <c r="M59" s="375"/>
      <c r="N59" s="375"/>
      <c r="O59" s="375"/>
      <c r="P59" s="375"/>
      <c r="Q59" s="376"/>
      <c r="R59" s="377"/>
      <c r="S59" s="378"/>
    </row>
    <row r="60" spans="1:19" ht="15.75" thickBot="1">
      <c r="A60" s="385"/>
      <c r="B60" s="386"/>
      <c r="C60" s="386"/>
      <c r="D60" s="386"/>
      <c r="E60" s="386"/>
      <c r="F60" s="386"/>
      <c r="G60" s="386"/>
      <c r="H60" s="386"/>
      <c r="I60" s="387"/>
      <c r="K60" s="716" t="s">
        <v>14</v>
      </c>
      <c r="L60" s="717"/>
      <c r="M60" s="717"/>
      <c r="N60" s="717"/>
      <c r="O60" s="717"/>
      <c r="P60" s="717"/>
      <c r="Q60" s="718"/>
      <c r="R60" s="380"/>
      <c r="S60" s="381">
        <f>SUM(S47:S56)</f>
        <v>697.75</v>
      </c>
    </row>
    <row r="61" spans="1:19" ht="15.75" thickBot="1">
      <c r="A61" s="388" t="s">
        <v>411</v>
      </c>
      <c r="B61" s="719" t="s">
        <v>412</v>
      </c>
      <c r="C61" s="720"/>
      <c r="D61" s="721"/>
      <c r="E61" s="383"/>
      <c r="F61" s="383"/>
      <c r="G61" s="383"/>
      <c r="H61" s="383"/>
      <c r="I61" s="384"/>
      <c r="K61" s="385"/>
      <c r="L61" s="386"/>
      <c r="M61" s="386"/>
      <c r="N61" s="386"/>
      <c r="O61" s="386"/>
      <c r="P61" s="386"/>
      <c r="Q61" s="386"/>
      <c r="R61" s="386"/>
      <c r="S61" s="387"/>
    </row>
    <row r="62" spans="1:19">
      <c r="A62" s="389" t="s">
        <v>405</v>
      </c>
      <c r="B62" s="724" t="s">
        <v>406</v>
      </c>
      <c r="C62" s="725"/>
      <c r="D62" s="726"/>
      <c r="E62" s="383"/>
      <c r="F62" s="383"/>
      <c r="G62" s="383"/>
      <c r="H62" s="383"/>
      <c r="I62" s="384"/>
      <c r="K62" s="388" t="s">
        <v>411</v>
      </c>
      <c r="L62" s="719" t="s">
        <v>412</v>
      </c>
      <c r="M62" s="720"/>
      <c r="N62" s="721"/>
      <c r="O62" s="383"/>
      <c r="P62" s="383"/>
      <c r="Q62" s="383"/>
      <c r="R62" s="383"/>
      <c r="S62" s="384"/>
    </row>
    <row r="63" spans="1:19">
      <c r="A63" s="389" t="s">
        <v>413</v>
      </c>
      <c r="B63" s="724" t="s">
        <v>414</v>
      </c>
      <c r="C63" s="725"/>
      <c r="D63" s="726"/>
      <c r="E63" s="383"/>
      <c r="F63" s="383"/>
      <c r="G63" s="383"/>
      <c r="H63" s="383"/>
      <c r="I63" s="384"/>
      <c r="K63" s="389" t="s">
        <v>405</v>
      </c>
      <c r="L63" s="724" t="s">
        <v>406</v>
      </c>
      <c r="M63" s="725"/>
      <c r="N63" s="726"/>
      <c r="O63" s="383"/>
      <c r="P63" s="383"/>
      <c r="Q63" s="383"/>
      <c r="R63" s="383"/>
      <c r="S63" s="384"/>
    </row>
    <row r="64" spans="1:19" ht="15.75" thickBot="1">
      <c r="A64" s="391" t="s">
        <v>415</v>
      </c>
      <c r="B64" s="727" t="s">
        <v>416</v>
      </c>
      <c r="C64" s="727"/>
      <c r="D64" s="728"/>
      <c r="E64" s="383"/>
      <c r="F64" s="383"/>
      <c r="G64" s="383"/>
      <c r="H64" s="383"/>
      <c r="I64" s="384"/>
      <c r="K64" s="389" t="s">
        <v>413</v>
      </c>
      <c r="L64" s="724" t="s">
        <v>414</v>
      </c>
      <c r="M64" s="725"/>
      <c r="N64" s="726"/>
      <c r="O64" s="383"/>
      <c r="P64" s="383"/>
      <c r="Q64" s="383"/>
      <c r="R64" s="383"/>
      <c r="S64" s="384"/>
    </row>
    <row r="65" spans="1:19" ht="15.75" thickBot="1">
      <c r="A65" s="392"/>
      <c r="B65" s="393"/>
      <c r="C65" s="393"/>
      <c r="D65" s="393"/>
      <c r="E65" s="393"/>
      <c r="F65" s="393"/>
      <c r="G65" s="393"/>
      <c r="H65" s="393"/>
      <c r="I65" s="394"/>
      <c r="K65" s="391" t="s">
        <v>415</v>
      </c>
      <c r="L65" s="729" t="s">
        <v>416</v>
      </c>
      <c r="M65" s="730"/>
      <c r="N65" s="731"/>
      <c r="O65" s="383"/>
      <c r="P65" s="383"/>
      <c r="Q65" s="383"/>
      <c r="R65" s="383"/>
      <c r="S65" s="384"/>
    </row>
    <row r="66" spans="1:19" ht="15.75" thickBot="1">
      <c r="K66" s="392"/>
      <c r="L66" s="393"/>
      <c r="M66" s="393"/>
      <c r="N66" s="393"/>
      <c r="O66" s="393"/>
      <c r="P66" s="393"/>
      <c r="Q66" s="393"/>
      <c r="R66" s="393"/>
      <c r="S66" s="394"/>
    </row>
  </sheetData>
  <mergeCells count="69">
    <mergeCell ref="B63:D63"/>
    <mergeCell ref="L63:N63"/>
    <mergeCell ref="B64:D64"/>
    <mergeCell ref="L64:N64"/>
    <mergeCell ref="L65:N65"/>
    <mergeCell ref="L62:N62"/>
    <mergeCell ref="O43:O45"/>
    <mergeCell ref="E49:E51"/>
    <mergeCell ref="F49:F50"/>
    <mergeCell ref="G49:G50"/>
    <mergeCell ref="O50:O52"/>
    <mergeCell ref="N43:N45"/>
    <mergeCell ref="A59:G59"/>
    <mergeCell ref="K60:Q60"/>
    <mergeCell ref="B61:D61"/>
    <mergeCell ref="B62:D62"/>
    <mergeCell ref="A41:I41"/>
    <mergeCell ref="P50:P51"/>
    <mergeCell ref="A42:A44"/>
    <mergeCell ref="B42:B44"/>
    <mergeCell ref="C42:C44"/>
    <mergeCell ref="D42:D44"/>
    <mergeCell ref="E42:E44"/>
    <mergeCell ref="K42:S42"/>
    <mergeCell ref="K43:K45"/>
    <mergeCell ref="L43:L45"/>
    <mergeCell ref="M43:M45"/>
    <mergeCell ref="Q50:Q51"/>
    <mergeCell ref="A35:I35"/>
    <mergeCell ref="K35:S35"/>
    <mergeCell ref="A36:I36"/>
    <mergeCell ref="K36:S36"/>
    <mergeCell ref="K37:S37"/>
    <mergeCell ref="B30:D30"/>
    <mergeCell ref="L30:N30"/>
    <mergeCell ref="A33:I33"/>
    <mergeCell ref="A34:I34"/>
    <mergeCell ref="K34:S34"/>
    <mergeCell ref="B27:D27"/>
    <mergeCell ref="L27:N27"/>
    <mergeCell ref="B28:D28"/>
    <mergeCell ref="L28:N28"/>
    <mergeCell ref="B29:D29"/>
    <mergeCell ref="L29:N29"/>
    <mergeCell ref="O17:O19"/>
    <mergeCell ref="P17:P18"/>
    <mergeCell ref="Q17:Q18"/>
    <mergeCell ref="A25:G25"/>
    <mergeCell ref="K25:Q25"/>
    <mergeCell ref="A4:I4"/>
    <mergeCell ref="K4:S4"/>
    <mergeCell ref="A9:I9"/>
    <mergeCell ref="K9:S9"/>
    <mergeCell ref="A10:A12"/>
    <mergeCell ref="B10:B12"/>
    <mergeCell ref="C10:C12"/>
    <mergeCell ref="D10:D12"/>
    <mergeCell ref="E10:E12"/>
    <mergeCell ref="K10:K12"/>
    <mergeCell ref="L10:L12"/>
    <mergeCell ref="M10:M12"/>
    <mergeCell ref="N10:N12"/>
    <mergeCell ref="O10:O12"/>
    <mergeCell ref="A1:I1"/>
    <mergeCell ref="K1:S1"/>
    <mergeCell ref="A2:I2"/>
    <mergeCell ref="K2:S2"/>
    <mergeCell ref="A3:I3"/>
    <mergeCell ref="K3:S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workbookViewId="0">
      <selection activeCell="O15" sqref="O15"/>
    </sheetView>
  </sheetViews>
  <sheetFormatPr defaultRowHeight="12.75"/>
  <cols>
    <col min="1" max="1" width="6.85546875" style="396" customWidth="1"/>
    <col min="2" max="2" width="9.85546875" style="396" customWidth="1"/>
    <col min="3" max="5" width="12" style="396" customWidth="1"/>
    <col min="6" max="6" width="12.42578125" style="396" customWidth="1"/>
    <col min="7" max="7" width="10.85546875" style="396" customWidth="1"/>
    <col min="8" max="8" width="12" style="396" customWidth="1"/>
    <col min="9" max="9" width="10.85546875" style="396" customWidth="1"/>
    <col min="10" max="10" width="13" style="396" customWidth="1"/>
    <col min="11" max="11" width="12" style="396" customWidth="1"/>
    <col min="12" max="12" width="13" style="396" customWidth="1"/>
    <col min="13" max="13" width="9.140625" style="396"/>
    <col min="14" max="15" width="6.85546875" style="396" customWidth="1"/>
    <col min="16" max="16" width="9.85546875" style="396" customWidth="1"/>
    <col min="17" max="19" width="12" style="396" customWidth="1"/>
    <col min="20" max="20" width="12.42578125" style="396" customWidth="1"/>
    <col min="21" max="21" width="10.85546875" style="396" customWidth="1"/>
    <col min="22" max="22" width="12" style="396" customWidth="1"/>
    <col min="23" max="23" width="10.85546875" style="396" hidden="1" customWidth="1"/>
    <col min="24" max="24" width="13" style="396" hidden="1" customWidth="1"/>
    <col min="25" max="25" width="12" style="396" hidden="1" customWidth="1"/>
    <col min="26" max="26" width="13" style="396" customWidth="1"/>
    <col min="27" max="28" width="9.140625" style="396"/>
  </cols>
  <sheetData>
    <row r="1" spans="1:28" ht="23.25" customHeight="1">
      <c r="A1" s="733" t="s">
        <v>427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5"/>
      <c r="N1" s="736" t="s">
        <v>428</v>
      </c>
      <c r="O1" s="737"/>
      <c r="P1" s="738"/>
      <c r="Q1" s="738"/>
      <c r="R1" s="738"/>
      <c r="S1" s="738"/>
      <c r="T1" s="738"/>
      <c r="U1" s="738"/>
      <c r="V1" s="738"/>
      <c r="W1" s="738"/>
      <c r="X1" s="738"/>
      <c r="Y1" s="738"/>
      <c r="Z1" s="739"/>
    </row>
    <row r="2" spans="1:28">
      <c r="A2" s="740" t="s">
        <v>429</v>
      </c>
      <c r="B2" s="741"/>
      <c r="C2" s="741"/>
      <c r="D2" s="741"/>
      <c r="E2" s="741"/>
      <c r="F2" s="741"/>
      <c r="G2" s="741"/>
      <c r="H2" s="741"/>
      <c r="I2" s="741"/>
      <c r="J2" s="741"/>
      <c r="K2" s="741"/>
      <c r="L2" s="742"/>
      <c r="N2" s="740"/>
      <c r="O2" s="741"/>
      <c r="P2" s="741"/>
      <c r="Q2" s="741"/>
      <c r="R2" s="741"/>
      <c r="S2" s="741"/>
      <c r="T2" s="741"/>
      <c r="U2" s="741"/>
      <c r="V2" s="741"/>
      <c r="W2" s="741"/>
      <c r="X2" s="741"/>
      <c r="Y2" s="741"/>
      <c r="Z2" s="742"/>
    </row>
    <row r="3" spans="1:28">
      <c r="A3" s="743" t="s">
        <v>430</v>
      </c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5"/>
      <c r="N3" s="746" t="s">
        <v>431</v>
      </c>
      <c r="O3" s="747"/>
      <c r="P3" s="744"/>
      <c r="Q3" s="744"/>
      <c r="R3" s="744"/>
      <c r="S3" s="744"/>
      <c r="T3" s="744"/>
      <c r="U3" s="744"/>
      <c r="V3" s="744"/>
      <c r="W3" s="744"/>
      <c r="X3" s="744"/>
      <c r="Y3" s="744"/>
      <c r="Z3" s="745"/>
    </row>
    <row r="4" spans="1:28">
      <c r="A4" s="397"/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9"/>
      <c r="N4" s="397"/>
      <c r="O4" s="519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9"/>
    </row>
    <row r="5" spans="1:28" ht="27">
      <c r="A5" s="400" t="s">
        <v>432</v>
      </c>
      <c r="B5" s="401" t="s">
        <v>433</v>
      </c>
      <c r="C5" s="402" t="s">
        <v>434</v>
      </c>
      <c r="D5" s="403" t="s">
        <v>435</v>
      </c>
      <c r="E5" s="403" t="s">
        <v>436</v>
      </c>
      <c r="F5" s="402" t="s">
        <v>437</v>
      </c>
      <c r="G5" s="401" t="s">
        <v>438</v>
      </c>
      <c r="H5" s="401" t="s">
        <v>439</v>
      </c>
      <c r="I5" s="402" t="s">
        <v>440</v>
      </c>
      <c r="J5" s="402" t="s">
        <v>441</v>
      </c>
      <c r="K5" s="404" t="s">
        <v>442</v>
      </c>
      <c r="L5" s="405" t="s">
        <v>443</v>
      </c>
      <c r="N5" s="406" t="s">
        <v>432</v>
      </c>
      <c r="O5" s="406" t="s">
        <v>432</v>
      </c>
      <c r="P5" s="407" t="s">
        <v>433</v>
      </c>
      <c r="Q5" s="408" t="s">
        <v>434</v>
      </c>
      <c r="R5" s="398" t="s">
        <v>435</v>
      </c>
      <c r="S5" s="398" t="s">
        <v>436</v>
      </c>
      <c r="T5" s="408" t="s">
        <v>437</v>
      </c>
      <c r="U5" s="407" t="s">
        <v>438</v>
      </c>
      <c r="V5" s="407" t="s">
        <v>439</v>
      </c>
      <c r="W5" s="408" t="s">
        <v>440</v>
      </c>
      <c r="X5" s="408" t="s">
        <v>441</v>
      </c>
      <c r="Y5" s="398" t="s">
        <v>442</v>
      </c>
      <c r="Z5" s="409" t="s">
        <v>443</v>
      </c>
    </row>
    <row r="6" spans="1:28">
      <c r="A6" s="406" t="s">
        <v>444</v>
      </c>
      <c r="B6" s="410" t="s">
        <v>445</v>
      </c>
      <c r="C6" s="410" t="s">
        <v>446</v>
      </c>
      <c r="D6" s="411">
        <v>3.2500499999999999</v>
      </c>
      <c r="E6" s="412">
        <f>TRUNC(D6*1000,2)</f>
        <v>3250.05</v>
      </c>
      <c r="F6" s="413">
        <v>3.6499999999999998E-2</v>
      </c>
      <c r="G6" s="410" t="s">
        <v>447</v>
      </c>
      <c r="H6" s="412">
        <f>TRUNC(E6/(1-(F6)),2)</f>
        <v>3373.17</v>
      </c>
      <c r="I6" s="414">
        <f>'TRANSP CAP RR-2C E CM-30'!$I$14</f>
        <v>50.92</v>
      </c>
      <c r="J6" s="414">
        <v>0</v>
      </c>
      <c r="K6" s="415" t="s">
        <v>448</v>
      </c>
      <c r="L6" s="416">
        <f>TRUNC((H6+I6+J6)*1.15,2)</f>
        <v>3937.7</v>
      </c>
      <c r="N6" s="520" t="s">
        <v>493</v>
      </c>
      <c r="O6" s="406" t="s">
        <v>444</v>
      </c>
      <c r="P6" s="407" t="s">
        <v>445</v>
      </c>
      <c r="Q6" s="410" t="s">
        <v>446</v>
      </c>
      <c r="R6" s="411">
        <v>3.2500499999999999</v>
      </c>
      <c r="S6" s="412">
        <f>TRUNC(R6*1000,2)</f>
        <v>3250.05</v>
      </c>
      <c r="T6" s="413">
        <v>3.6499999999999998E-2</v>
      </c>
      <c r="U6" s="410" t="s">
        <v>447</v>
      </c>
      <c r="V6" s="412">
        <f>TRUNC(S6/(1-(T6)),2)</f>
        <v>3373.17</v>
      </c>
      <c r="W6" s="414">
        <v>179.08</v>
      </c>
      <c r="X6" s="414">
        <v>37.770000000000003</v>
      </c>
      <c r="Y6" s="415" t="s">
        <v>448</v>
      </c>
      <c r="Z6" s="416">
        <f>TRUNC((V6)*1.15,2)</f>
        <v>3879.14</v>
      </c>
    </row>
    <row r="7" spans="1:28">
      <c r="A7" s="406" t="s">
        <v>449</v>
      </c>
      <c r="B7" s="417" t="s">
        <v>450</v>
      </c>
      <c r="C7" s="410" t="s">
        <v>446</v>
      </c>
      <c r="D7" s="411">
        <v>4.8017599999999998</v>
      </c>
      <c r="E7" s="412">
        <f>TRUNC(D7*1000,2)</f>
        <v>4801.76</v>
      </c>
      <c r="F7" s="413">
        <v>3.6499999999999998E-2</v>
      </c>
      <c r="G7" s="410" t="s">
        <v>447</v>
      </c>
      <c r="H7" s="412">
        <f>TRUNC(E7/(1-(F7)),2)</f>
        <v>4983.66</v>
      </c>
      <c r="I7" s="414">
        <f>'TRANSP CAP RR-2C E CM-30'!$I$14</f>
        <v>50.92</v>
      </c>
      <c r="J7" s="414">
        <f>[2]TRANSPORTE!I15</f>
        <v>0</v>
      </c>
      <c r="K7" s="415" t="s">
        <v>448</v>
      </c>
      <c r="L7" s="416">
        <f>TRUNC((H7+I7+J7)*1.15,2)</f>
        <v>5789.76</v>
      </c>
      <c r="N7" s="520" t="s">
        <v>494</v>
      </c>
      <c r="O7" s="406" t="s">
        <v>449</v>
      </c>
      <c r="P7" s="407" t="s">
        <v>450</v>
      </c>
      <c r="Q7" s="410" t="s">
        <v>446</v>
      </c>
      <c r="R7" s="411">
        <v>4.8017599999999998</v>
      </c>
      <c r="S7" s="412">
        <f>TRUNC(R7*1000,2)</f>
        <v>4801.76</v>
      </c>
      <c r="T7" s="413">
        <v>3.6499999999999998E-2</v>
      </c>
      <c r="U7" s="410" t="s">
        <v>447</v>
      </c>
      <c r="V7" s="412">
        <f>TRUNC(S7/(1-(T7)),2)</f>
        <v>4983.66</v>
      </c>
      <c r="W7" s="414">
        <v>179.08</v>
      </c>
      <c r="X7" s="414">
        <v>37.770000000000003</v>
      </c>
      <c r="Y7" s="415" t="s">
        <v>448</v>
      </c>
      <c r="Z7" s="416">
        <f>TRUNC((V7)*1.15,2)</f>
        <v>5731.2</v>
      </c>
    </row>
    <row r="8" spans="1:28">
      <c r="A8" s="406" t="s">
        <v>451</v>
      </c>
      <c r="B8" s="418" t="s">
        <v>455</v>
      </c>
      <c r="C8" s="410" t="s">
        <v>452</v>
      </c>
      <c r="D8" s="411">
        <v>2.2940499999999999</v>
      </c>
      <c r="E8" s="412">
        <f>TRUNC(D8*1000,2)</f>
        <v>2294.0500000000002</v>
      </c>
      <c r="F8" s="413">
        <v>3.6499999999999998E-2</v>
      </c>
      <c r="G8" s="410" t="s">
        <v>447</v>
      </c>
      <c r="H8" s="412">
        <f>TRUNC(E8/(1-(F8)),2)</f>
        <v>2380.9499999999998</v>
      </c>
      <c r="I8" s="414">
        <f>'TRANSP CAP RR-2C E CM-30'!$I$14</f>
        <v>50.92</v>
      </c>
      <c r="J8" s="414">
        <f>J7</f>
        <v>0</v>
      </c>
      <c r="K8" s="415" t="s">
        <v>448</v>
      </c>
      <c r="L8" s="416">
        <f>TRUNC((H8+I8+J8)*1.15,2)</f>
        <v>2796.65</v>
      </c>
      <c r="N8" s="520" t="s">
        <v>343</v>
      </c>
      <c r="O8" s="406" t="s">
        <v>451</v>
      </c>
      <c r="P8" s="407" t="s">
        <v>455</v>
      </c>
      <c r="Q8" s="410" t="s">
        <v>446</v>
      </c>
      <c r="R8" s="411">
        <v>2.2940499999999999</v>
      </c>
      <c r="S8" s="412">
        <f>TRUNC(R8*1000,2)</f>
        <v>2294.0500000000002</v>
      </c>
      <c r="T8" s="413">
        <v>3.6499999999999998E-2</v>
      </c>
      <c r="U8" s="410" t="s">
        <v>447</v>
      </c>
      <c r="V8" s="412">
        <f>TRUNC(S8/(1-(T8)),2)</f>
        <v>2380.9499999999998</v>
      </c>
      <c r="W8" s="414">
        <v>179.08</v>
      </c>
      <c r="X8" s="414">
        <v>37.770000000000003</v>
      </c>
      <c r="Y8" s="415" t="s">
        <v>448</v>
      </c>
      <c r="Z8" s="416">
        <f>TRUNC((V8)*1.15,2)</f>
        <v>2738.09</v>
      </c>
    </row>
    <row r="9" spans="1:28" ht="13.5" thickBot="1">
      <c r="A9" s="740" t="s">
        <v>453</v>
      </c>
      <c r="B9" s="741"/>
      <c r="C9" s="741"/>
      <c r="D9" s="741"/>
      <c r="E9" s="741"/>
      <c r="F9" s="741"/>
      <c r="G9" s="741"/>
      <c r="H9" s="741"/>
      <c r="I9" s="741"/>
      <c r="J9" s="741"/>
      <c r="K9" s="741"/>
      <c r="L9" s="742"/>
      <c r="N9" s="438"/>
      <c r="O9" s="439"/>
      <c r="P9" s="439"/>
      <c r="Q9" s="439"/>
      <c r="R9" s="439"/>
      <c r="S9" s="439"/>
      <c r="T9" s="439"/>
      <c r="U9" s="439"/>
      <c r="V9" s="439"/>
      <c r="W9" s="439"/>
      <c r="X9" s="439"/>
      <c r="Y9" s="439"/>
      <c r="Z9" s="440"/>
    </row>
    <row r="10" spans="1:28">
      <c r="A10" s="743" t="s">
        <v>430</v>
      </c>
      <c r="B10" s="744"/>
      <c r="C10" s="744"/>
      <c r="D10" s="744"/>
      <c r="E10" s="744"/>
      <c r="F10" s="744"/>
      <c r="G10" s="744"/>
      <c r="H10" s="744"/>
      <c r="I10" s="744"/>
      <c r="J10" s="744"/>
      <c r="K10" s="744"/>
      <c r="L10" s="745"/>
    </row>
    <row r="11" spans="1:28">
      <c r="A11" s="397"/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399"/>
    </row>
    <row r="12" spans="1:28" ht="27">
      <c r="A12" s="400" t="s">
        <v>432</v>
      </c>
      <c r="B12" s="401" t="s">
        <v>433</v>
      </c>
      <c r="C12" s="402" t="s">
        <v>434</v>
      </c>
      <c r="D12" s="403" t="s">
        <v>435</v>
      </c>
      <c r="E12" s="403" t="s">
        <v>436</v>
      </c>
      <c r="F12" s="402" t="s">
        <v>437</v>
      </c>
      <c r="G12" s="401" t="s">
        <v>438</v>
      </c>
      <c r="H12" s="401" t="s">
        <v>439</v>
      </c>
      <c r="I12" s="402" t="s">
        <v>440</v>
      </c>
      <c r="J12" s="402" t="s">
        <v>441</v>
      </c>
      <c r="K12" s="404" t="s">
        <v>442</v>
      </c>
      <c r="L12" s="405" t="s">
        <v>443</v>
      </c>
    </row>
    <row r="13" spans="1:28">
      <c r="A13" s="406" t="s">
        <v>444</v>
      </c>
      <c r="B13" s="410" t="s">
        <v>445</v>
      </c>
      <c r="C13" s="410" t="s">
        <v>446</v>
      </c>
      <c r="D13" s="411">
        <v>2.6446399999999999</v>
      </c>
      <c r="E13" s="412">
        <f>TRUNC(D13*1000,2)</f>
        <v>2644.64</v>
      </c>
      <c r="F13" s="413">
        <v>3.6499999999999998E-2</v>
      </c>
      <c r="G13" s="421" t="s">
        <v>454</v>
      </c>
      <c r="H13" s="412">
        <f>TRUNC(E13/(1-(F13)),2)</f>
        <v>2744.82</v>
      </c>
      <c r="I13" s="414">
        <f>'TRANSP CAP RR-2C E CM-30'!I59</f>
        <v>750.87</v>
      </c>
      <c r="J13" s="414">
        <v>0</v>
      </c>
      <c r="K13" s="415" t="s">
        <v>448</v>
      </c>
      <c r="L13" s="416">
        <f>TRUNC((H13+I13+J13)*1.15,2)</f>
        <v>4020.04</v>
      </c>
    </row>
    <row r="14" spans="1:28">
      <c r="A14" s="419" t="s">
        <v>449</v>
      </c>
      <c r="B14" s="420" t="s">
        <v>450</v>
      </c>
      <c r="C14" s="421" t="s">
        <v>446</v>
      </c>
      <c r="D14" s="411">
        <v>4.2121199999999996</v>
      </c>
      <c r="E14" s="422">
        <f>TRUNC(D14*1000,2)</f>
        <v>4212.12</v>
      </c>
      <c r="F14" s="423">
        <v>0.2165</v>
      </c>
      <c r="G14" s="421" t="s">
        <v>454</v>
      </c>
      <c r="H14" s="422">
        <f>TRUNC(E14/(1-(F14)),2)</f>
        <v>5376.03</v>
      </c>
      <c r="I14" s="424">
        <f>[2]TRANSPORTE!I61-J14</f>
        <v>750.87</v>
      </c>
      <c r="J14" s="424">
        <f>[2]TRANSPORTE!I47</f>
        <v>0</v>
      </c>
      <c r="K14" s="425" t="s">
        <v>448</v>
      </c>
      <c r="L14" s="426">
        <f>TRUNC((H14+I14+J14)*1.15,2)</f>
        <v>7045.93</v>
      </c>
      <c r="M14" s="427"/>
      <c r="AA14" s="427"/>
      <c r="AB14" s="427"/>
    </row>
    <row r="15" spans="1:28">
      <c r="A15" s="406" t="s">
        <v>451</v>
      </c>
      <c r="B15" s="418" t="s">
        <v>455</v>
      </c>
      <c r="C15" s="410" t="s">
        <v>452</v>
      </c>
      <c r="D15" s="411">
        <v>2.10649</v>
      </c>
      <c r="E15" s="412">
        <f>TRUNC(D15*1000,2)</f>
        <v>2106.4899999999998</v>
      </c>
      <c r="F15" s="413">
        <v>0.2165</v>
      </c>
      <c r="G15" s="410" t="s">
        <v>454</v>
      </c>
      <c r="H15" s="412">
        <f>TRUNC(E15/(1-(F15)),2)</f>
        <v>2688.56</v>
      </c>
      <c r="I15" s="414">
        <f>I14</f>
        <v>750.87</v>
      </c>
      <c r="J15" s="414">
        <f>J14</f>
        <v>0</v>
      </c>
      <c r="K15" s="415" t="s">
        <v>448</v>
      </c>
      <c r="L15" s="416">
        <f>TRUNC((H15+I15+J15)*1.15,2)</f>
        <v>3955.34</v>
      </c>
    </row>
    <row r="16" spans="1:28">
      <c r="A16" s="740" t="s">
        <v>456</v>
      </c>
      <c r="B16" s="741"/>
      <c r="C16" s="741"/>
      <c r="D16" s="741"/>
      <c r="E16" s="741"/>
      <c r="F16" s="741"/>
      <c r="G16" s="741"/>
      <c r="H16" s="741"/>
      <c r="I16" s="741"/>
      <c r="J16" s="741"/>
      <c r="K16" s="741"/>
      <c r="L16" s="742"/>
    </row>
    <row r="17" spans="1:12">
      <c r="A17" s="743" t="s">
        <v>430</v>
      </c>
      <c r="B17" s="744"/>
      <c r="C17" s="744"/>
      <c r="D17" s="744"/>
      <c r="E17" s="744"/>
      <c r="F17" s="744"/>
      <c r="G17" s="744"/>
      <c r="H17" s="744"/>
      <c r="I17" s="744"/>
      <c r="J17" s="744"/>
      <c r="K17" s="744"/>
      <c r="L17" s="745"/>
    </row>
    <row r="18" spans="1:12">
      <c r="A18" s="397"/>
      <c r="B18" s="398"/>
      <c r="C18" s="398"/>
      <c r="D18" s="398"/>
      <c r="E18" s="398"/>
      <c r="F18" s="398"/>
      <c r="G18" s="398"/>
      <c r="H18" s="398"/>
      <c r="I18" s="398"/>
      <c r="J18" s="398"/>
      <c r="K18" s="398"/>
      <c r="L18" s="399"/>
    </row>
    <row r="19" spans="1:12" ht="27">
      <c r="A19" s="400" t="s">
        <v>432</v>
      </c>
      <c r="B19" s="401" t="s">
        <v>433</v>
      </c>
      <c r="C19" s="402" t="s">
        <v>434</v>
      </c>
      <c r="D19" s="403" t="s">
        <v>435</v>
      </c>
      <c r="E19" s="403" t="s">
        <v>436</v>
      </c>
      <c r="F19" s="402" t="s">
        <v>437</v>
      </c>
      <c r="G19" s="401" t="s">
        <v>438</v>
      </c>
      <c r="H19" s="401" t="s">
        <v>439</v>
      </c>
      <c r="I19" s="402" t="s">
        <v>440</v>
      </c>
      <c r="J19" s="402" t="s">
        <v>441</v>
      </c>
      <c r="K19" s="404" t="s">
        <v>442</v>
      </c>
      <c r="L19" s="405" t="s">
        <v>443</v>
      </c>
    </row>
    <row r="20" spans="1:12">
      <c r="A20" s="428" t="s">
        <v>444</v>
      </c>
      <c r="B20" s="410" t="s">
        <v>445</v>
      </c>
      <c r="C20" s="410" t="s">
        <v>446</v>
      </c>
      <c r="D20" s="411">
        <v>2.9452600000000002</v>
      </c>
      <c r="E20" s="412">
        <f>TRUNC(D20*1000,2)</f>
        <v>2945.26</v>
      </c>
      <c r="F20" s="413">
        <v>3.6499999999999998E-2</v>
      </c>
      <c r="G20" s="410" t="s">
        <v>457</v>
      </c>
      <c r="H20" s="412">
        <f>TRUNC(E20/(1-(F20)),2)</f>
        <v>3056.83</v>
      </c>
      <c r="I20" s="414">
        <f>[2]TRANSPORTE!S62</f>
        <v>664.2</v>
      </c>
      <c r="J20" s="414">
        <v>0</v>
      </c>
      <c r="K20" s="415" t="s">
        <v>448</v>
      </c>
      <c r="L20" s="416">
        <f>TRUNC((H20+I20+J20)*1.15,2)</f>
        <v>4279.18</v>
      </c>
    </row>
    <row r="21" spans="1:12">
      <c r="A21" s="428" t="s">
        <v>449</v>
      </c>
      <c r="B21" s="417" t="s">
        <v>450</v>
      </c>
      <c r="C21" s="410" t="s">
        <v>446</v>
      </c>
      <c r="D21" s="411">
        <v>4.6107300000000002</v>
      </c>
      <c r="E21" s="412">
        <f>TRUNC(D21*1000,2)</f>
        <v>4610.7299999999996</v>
      </c>
      <c r="F21" s="413">
        <v>0.2165</v>
      </c>
      <c r="G21" s="410" t="s">
        <v>457</v>
      </c>
      <c r="H21" s="412">
        <f>TRUNC(E21/(1-(F21)),2)</f>
        <v>5884.78</v>
      </c>
      <c r="I21" s="414">
        <f>[2]TRANSPORTE!S62-J21</f>
        <v>664.2</v>
      </c>
      <c r="J21" s="414">
        <f>[2]TRANSPORTE!S48</f>
        <v>0</v>
      </c>
      <c r="K21" s="415" t="s">
        <v>448</v>
      </c>
      <c r="L21" s="416">
        <f>TRUNC((H21+I21+J21)*1.15,2)</f>
        <v>7531.32</v>
      </c>
    </row>
    <row r="22" spans="1:12">
      <c r="A22" s="428" t="s">
        <v>451</v>
      </c>
      <c r="B22" s="418" t="s">
        <v>455</v>
      </c>
      <c r="C22" s="410" t="s">
        <v>452</v>
      </c>
      <c r="D22" s="411">
        <v>2.3001</v>
      </c>
      <c r="E22" s="412">
        <f>TRUNC(D22*1000,2)</f>
        <v>2300.1</v>
      </c>
      <c r="F22" s="413">
        <v>0.2165</v>
      </c>
      <c r="G22" s="410" t="s">
        <v>457</v>
      </c>
      <c r="H22" s="412">
        <f>TRUNC(E22/(1-(F22)),2)</f>
        <v>2935.67</v>
      </c>
      <c r="I22" s="414">
        <f>I21</f>
        <v>664.2</v>
      </c>
      <c r="J22" s="414">
        <f>J21</f>
        <v>0</v>
      </c>
      <c r="K22" s="415" t="s">
        <v>448</v>
      </c>
      <c r="L22" s="416">
        <f>TRUNC((H22+I22+J22)*1.15,2)</f>
        <v>4139.8500000000004</v>
      </c>
    </row>
    <row r="23" spans="1:12">
      <c r="A23" s="751" t="s">
        <v>458</v>
      </c>
      <c r="B23" s="752"/>
      <c r="C23" s="752"/>
      <c r="D23" s="752"/>
      <c r="E23" s="752"/>
      <c r="F23" s="752"/>
      <c r="G23" s="752"/>
      <c r="H23" s="752"/>
      <c r="I23" s="752"/>
      <c r="J23" s="752"/>
      <c r="K23" s="752"/>
      <c r="L23" s="753"/>
    </row>
    <row r="24" spans="1:12" ht="13.5" thickBot="1">
      <c r="A24" s="748"/>
      <c r="B24" s="749"/>
      <c r="C24" s="749"/>
      <c r="D24" s="749"/>
      <c r="E24" s="749"/>
      <c r="F24" s="749"/>
      <c r="G24" s="749"/>
      <c r="H24" s="749"/>
      <c r="I24" s="749"/>
      <c r="J24" s="749"/>
      <c r="K24" s="749"/>
      <c r="L24" s="750"/>
    </row>
    <row r="25" spans="1:12">
      <c r="A25" s="429" t="s">
        <v>459</v>
      </c>
      <c r="B25" s="430"/>
      <c r="C25" s="430"/>
      <c r="D25" s="430"/>
      <c r="E25" s="430"/>
      <c r="F25" s="430"/>
      <c r="G25" s="430"/>
      <c r="H25" s="430"/>
      <c r="I25" s="430"/>
      <c r="J25" s="430"/>
      <c r="K25" s="430"/>
      <c r="L25" s="431"/>
    </row>
    <row r="26" spans="1:12">
      <c r="A26" s="432" t="s">
        <v>460</v>
      </c>
      <c r="B26" s="427"/>
      <c r="C26" s="427"/>
      <c r="D26" s="427"/>
      <c r="E26" s="427"/>
      <c r="F26" s="427"/>
      <c r="G26" s="427"/>
      <c r="H26" s="427"/>
      <c r="I26" s="427"/>
      <c r="J26" s="427"/>
      <c r="K26" s="427"/>
      <c r="L26" s="433"/>
    </row>
    <row r="27" spans="1:12">
      <c r="A27" s="432" t="s">
        <v>461</v>
      </c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433"/>
    </row>
    <row r="28" spans="1:12">
      <c r="A28" s="432" t="s">
        <v>507</v>
      </c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33"/>
    </row>
    <row r="29" spans="1:12" ht="13.5" thickBot="1">
      <c r="A29" s="434" t="s">
        <v>508</v>
      </c>
      <c r="B29" s="435"/>
      <c r="C29" s="435"/>
      <c r="D29" s="435"/>
      <c r="E29" s="435"/>
      <c r="F29" s="435"/>
      <c r="G29" s="435"/>
      <c r="H29" s="435"/>
      <c r="I29" s="435"/>
      <c r="J29" s="435"/>
      <c r="K29" s="435"/>
      <c r="L29" s="436"/>
    </row>
  </sheetData>
  <mergeCells count="12">
    <mergeCell ref="A24:L24"/>
    <mergeCell ref="A9:L9"/>
    <mergeCell ref="A10:L10"/>
    <mergeCell ref="A16:L16"/>
    <mergeCell ref="A17:L17"/>
    <mergeCell ref="A23:L23"/>
    <mergeCell ref="A1:L1"/>
    <mergeCell ref="N1:Z1"/>
    <mergeCell ref="A2:L2"/>
    <mergeCell ref="N2:Z2"/>
    <mergeCell ref="A3:L3"/>
    <mergeCell ref="N3:Z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AM56"/>
  <sheetViews>
    <sheetView zoomScale="82" zoomScaleNormal="82" zoomScaleSheetLayoutView="110" workbookViewId="0">
      <selection activeCell="E46" sqref="E46:E48"/>
    </sheetView>
  </sheetViews>
  <sheetFormatPr defaultRowHeight="12.75"/>
  <cols>
    <col min="1" max="1" width="5.85546875" customWidth="1"/>
    <col min="2" max="2" width="6.140625" customWidth="1"/>
    <col min="3" max="3" width="28.5703125" customWidth="1"/>
    <col min="4" max="4" width="9.28515625" customWidth="1"/>
    <col min="5" max="5" width="13.85546875" customWidth="1"/>
    <col min="6" max="23" width="4.7109375" customWidth="1"/>
    <col min="24" max="24" width="19.140625" customWidth="1"/>
    <col min="25" max="25" width="18.7109375" customWidth="1"/>
  </cols>
  <sheetData>
    <row r="1" spans="1:25" ht="12.75" customHeight="1">
      <c r="A1" s="818" t="s">
        <v>152</v>
      </c>
      <c r="B1" s="819"/>
      <c r="C1" s="819"/>
      <c r="D1" s="819"/>
      <c r="E1" s="820"/>
      <c r="F1" s="832" t="s">
        <v>173</v>
      </c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3"/>
      <c r="S1" s="833"/>
      <c r="T1" s="833"/>
      <c r="U1" s="833"/>
      <c r="V1" s="833"/>
      <c r="W1" s="834"/>
    </row>
    <row r="2" spans="1:25" ht="12.75" customHeight="1">
      <c r="A2" s="821"/>
      <c r="B2" s="822"/>
      <c r="C2" s="822"/>
      <c r="D2" s="822"/>
      <c r="E2" s="823"/>
      <c r="F2" s="835"/>
      <c r="G2" s="836"/>
      <c r="H2" s="836"/>
      <c r="I2" s="836"/>
      <c r="J2" s="836"/>
      <c r="K2" s="836"/>
      <c r="L2" s="836"/>
      <c r="M2" s="836"/>
      <c r="N2" s="836"/>
      <c r="O2" s="836"/>
      <c r="P2" s="836"/>
      <c r="Q2" s="836"/>
      <c r="R2" s="836"/>
      <c r="S2" s="836"/>
      <c r="T2" s="836"/>
      <c r="U2" s="836"/>
      <c r="V2" s="836"/>
      <c r="W2" s="837"/>
    </row>
    <row r="3" spans="1:25" ht="12.75" customHeight="1">
      <c r="A3" s="824"/>
      <c r="B3" s="825"/>
      <c r="C3" s="825"/>
      <c r="D3" s="825"/>
      <c r="E3" s="826"/>
      <c r="F3" s="838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39"/>
      <c r="S3" s="839"/>
      <c r="T3" s="839"/>
      <c r="U3" s="839"/>
      <c r="V3" s="839"/>
      <c r="W3" s="840"/>
    </row>
    <row r="4" spans="1:25" ht="18">
      <c r="A4" s="841" t="str">
        <f>QUANT!A2</f>
        <v>BAIRRO: NOVA ESPERANÇA</v>
      </c>
      <c r="B4" s="842"/>
      <c r="C4" s="842"/>
      <c r="D4" s="842"/>
      <c r="E4" s="842"/>
      <c r="F4" s="842"/>
      <c r="G4" s="842"/>
      <c r="H4" s="842"/>
      <c r="I4" s="842"/>
      <c r="J4" s="842"/>
      <c r="K4" s="842"/>
      <c r="L4" s="842"/>
      <c r="M4" s="842"/>
      <c r="N4" s="842"/>
      <c r="O4" s="842"/>
      <c r="P4" s="842"/>
      <c r="Q4" s="842"/>
      <c r="R4" s="842"/>
      <c r="S4" s="842"/>
      <c r="T4" s="842"/>
      <c r="U4" s="842"/>
      <c r="V4" s="842"/>
      <c r="W4" s="843"/>
    </row>
    <row r="5" spans="1:25" ht="15.75">
      <c r="A5" s="827"/>
      <c r="B5" s="828"/>
      <c r="C5" s="828"/>
      <c r="D5" s="828"/>
      <c r="E5" s="829"/>
      <c r="F5" s="844" t="s">
        <v>85</v>
      </c>
      <c r="G5" s="844"/>
      <c r="H5" s="844"/>
      <c r="I5" s="844"/>
      <c r="J5" s="844"/>
      <c r="K5" s="844"/>
      <c r="L5" s="844"/>
      <c r="M5" s="844"/>
      <c r="N5" s="844"/>
      <c r="O5" s="844"/>
      <c r="P5" s="844"/>
      <c r="Q5" s="844"/>
      <c r="R5" s="844"/>
      <c r="S5" s="844"/>
      <c r="T5" s="844"/>
      <c r="U5" s="844"/>
      <c r="V5" s="844"/>
      <c r="W5" s="845"/>
    </row>
    <row r="6" spans="1:25">
      <c r="A6" s="51" t="s">
        <v>86</v>
      </c>
      <c r="B6" s="830" t="s">
        <v>87</v>
      </c>
      <c r="C6" s="831"/>
      <c r="D6" s="51" t="s">
        <v>88</v>
      </c>
      <c r="E6" s="51" t="s">
        <v>89</v>
      </c>
      <c r="F6" s="754">
        <v>30</v>
      </c>
      <c r="G6" s="754"/>
      <c r="H6" s="754"/>
      <c r="I6" s="754">
        <v>60</v>
      </c>
      <c r="J6" s="754"/>
      <c r="K6" s="754"/>
      <c r="L6" s="754">
        <v>90</v>
      </c>
      <c r="M6" s="754"/>
      <c r="N6" s="754"/>
      <c r="O6" s="817">
        <v>120</v>
      </c>
      <c r="P6" s="754"/>
      <c r="Q6" s="754"/>
      <c r="R6" s="817">
        <v>150</v>
      </c>
      <c r="S6" s="754"/>
      <c r="T6" s="754"/>
      <c r="U6" s="817">
        <v>180</v>
      </c>
      <c r="V6" s="754"/>
      <c r="W6" s="754"/>
    </row>
    <row r="7" spans="1:25">
      <c r="A7" s="795" t="str">
        <f>RESUMO!A14</f>
        <v>I</v>
      </c>
      <c r="B7" s="803" t="str">
        <f>[3]RESUMO!B9</f>
        <v>SERVIÇOS PRELIMINARES</v>
      </c>
      <c r="C7" s="804"/>
      <c r="D7" s="756">
        <f>E7/$E$50*100</f>
        <v>3.8366907574348326</v>
      </c>
      <c r="E7" s="767">
        <f>RESUMO!D14</f>
        <v>34868.869999999995</v>
      </c>
      <c r="F7" s="792">
        <f>$E$7*F9</f>
        <v>10460.660999999998</v>
      </c>
      <c r="G7" s="793"/>
      <c r="H7" s="794"/>
      <c r="I7" s="792">
        <f>$E$7*I9</f>
        <v>6973.7739999999994</v>
      </c>
      <c r="J7" s="793"/>
      <c r="K7" s="794"/>
      <c r="L7" s="792">
        <f>$E$7*L9</f>
        <v>6973.7739999999994</v>
      </c>
      <c r="M7" s="793"/>
      <c r="N7" s="794"/>
      <c r="O7" s="792">
        <f>$E$7*O9</f>
        <v>6973.7739999999994</v>
      </c>
      <c r="P7" s="793"/>
      <c r="Q7" s="794"/>
      <c r="R7" s="792">
        <f>$E$7*R9</f>
        <v>1743.4434999999999</v>
      </c>
      <c r="S7" s="793"/>
      <c r="T7" s="794"/>
      <c r="U7" s="792">
        <f>$E$7*U9</f>
        <v>1743.4434999999999</v>
      </c>
      <c r="V7" s="793"/>
      <c r="W7" s="794"/>
      <c r="X7" s="4">
        <f>SUM(F7:W7)</f>
        <v>34868.869999999995</v>
      </c>
      <c r="Y7" s="4">
        <f>X7-E7</f>
        <v>0</v>
      </c>
    </row>
    <row r="8" spans="1:25" ht="12.75" customHeight="1">
      <c r="A8" s="796"/>
      <c r="B8" s="785"/>
      <c r="C8" s="786"/>
      <c r="D8" s="757"/>
      <c r="E8" s="768"/>
      <c r="F8" s="811"/>
      <c r="G8" s="812"/>
      <c r="H8" s="813"/>
      <c r="I8" s="53"/>
      <c r="J8" s="53"/>
      <c r="K8" s="54"/>
      <c r="L8" s="52"/>
      <c r="M8" s="53"/>
      <c r="N8" s="54"/>
      <c r="O8" s="53"/>
      <c r="P8" s="53"/>
      <c r="Q8" s="54"/>
      <c r="R8" s="53"/>
      <c r="S8" s="53"/>
      <c r="T8" s="53"/>
      <c r="U8" s="53"/>
      <c r="V8" s="53"/>
      <c r="W8" s="54"/>
    </row>
    <row r="9" spans="1:25" ht="12.75" customHeight="1">
      <c r="A9" s="796"/>
      <c r="B9" s="785"/>
      <c r="C9" s="786"/>
      <c r="D9" s="757"/>
      <c r="E9" s="769"/>
      <c r="F9" s="789">
        <v>0.3</v>
      </c>
      <c r="G9" s="790"/>
      <c r="H9" s="791"/>
      <c r="I9" s="789">
        <v>0.2</v>
      </c>
      <c r="J9" s="790"/>
      <c r="K9" s="791"/>
      <c r="L9" s="789">
        <v>0.2</v>
      </c>
      <c r="M9" s="790"/>
      <c r="N9" s="791"/>
      <c r="O9" s="789">
        <v>0.2</v>
      </c>
      <c r="P9" s="790"/>
      <c r="Q9" s="791"/>
      <c r="R9" s="789">
        <v>0.05</v>
      </c>
      <c r="S9" s="790"/>
      <c r="T9" s="791"/>
      <c r="U9" s="789">
        <v>0.05</v>
      </c>
      <c r="V9" s="790"/>
      <c r="W9" s="791"/>
      <c r="X9" s="77">
        <f>SUM(F9:W9)</f>
        <v>1</v>
      </c>
    </row>
    <row r="10" spans="1:25" ht="12.75" customHeight="1">
      <c r="A10" s="795" t="str">
        <f>RESUMO!A17</f>
        <v>II</v>
      </c>
      <c r="B10" s="803" t="str">
        <f>[3]RESUMO!B12</f>
        <v>ADMINISTRAÇÃO LOCAL</v>
      </c>
      <c r="C10" s="804"/>
      <c r="D10" s="756">
        <f>E10/$E$50*100</f>
        <v>3.598173337116966</v>
      </c>
      <c r="E10" s="767">
        <f>RESUMO!D17</f>
        <v>32701.16</v>
      </c>
      <c r="F10" s="792">
        <f>$E$10*F12</f>
        <v>4905.174</v>
      </c>
      <c r="G10" s="793"/>
      <c r="H10" s="794"/>
      <c r="I10" s="792">
        <f>$E$10*I12</f>
        <v>4905.174</v>
      </c>
      <c r="J10" s="793"/>
      <c r="K10" s="794"/>
      <c r="L10" s="792">
        <f>$E$10*L12</f>
        <v>6540.232</v>
      </c>
      <c r="M10" s="793"/>
      <c r="N10" s="794"/>
      <c r="O10" s="792">
        <f>$E$10*O12</f>
        <v>3270.116</v>
      </c>
      <c r="P10" s="793"/>
      <c r="Q10" s="794"/>
      <c r="R10" s="792">
        <f>$E$10*R12</f>
        <v>3270.116</v>
      </c>
      <c r="S10" s="793"/>
      <c r="T10" s="794"/>
      <c r="U10" s="792">
        <f>$E$10*U12</f>
        <v>9810.348</v>
      </c>
      <c r="V10" s="793"/>
      <c r="W10" s="794"/>
      <c r="X10" s="4">
        <f>SUM(F10:W10)</f>
        <v>32701.159999999996</v>
      </c>
      <c r="Y10" s="4">
        <f>X10-E10</f>
        <v>0</v>
      </c>
    </row>
    <row r="11" spans="1:25" ht="12.75" customHeight="1">
      <c r="A11" s="796"/>
      <c r="B11" s="785"/>
      <c r="C11" s="786"/>
      <c r="D11" s="757"/>
      <c r="E11" s="768"/>
      <c r="F11" s="811"/>
      <c r="G11" s="812"/>
      <c r="H11" s="813"/>
      <c r="I11" s="53"/>
      <c r="J11" s="53"/>
      <c r="K11" s="54"/>
      <c r="L11" s="52"/>
      <c r="M11" s="53"/>
      <c r="N11" s="54"/>
      <c r="O11" s="53"/>
      <c r="P11" s="53"/>
      <c r="Q11" s="54"/>
      <c r="R11" s="53"/>
      <c r="S11" s="53"/>
      <c r="T11" s="53"/>
      <c r="U11" s="53"/>
      <c r="V11" s="53"/>
      <c r="W11" s="54"/>
    </row>
    <row r="12" spans="1:25" ht="12.75" customHeight="1">
      <c r="A12" s="796"/>
      <c r="B12" s="785"/>
      <c r="C12" s="786"/>
      <c r="D12" s="758"/>
      <c r="E12" s="769"/>
      <c r="F12" s="789">
        <v>0.15</v>
      </c>
      <c r="G12" s="790"/>
      <c r="H12" s="791"/>
      <c r="I12" s="789">
        <v>0.15</v>
      </c>
      <c r="J12" s="790"/>
      <c r="K12" s="791"/>
      <c r="L12" s="789">
        <v>0.2</v>
      </c>
      <c r="M12" s="790"/>
      <c r="N12" s="791"/>
      <c r="O12" s="789">
        <v>0.1</v>
      </c>
      <c r="P12" s="790"/>
      <c r="Q12" s="791"/>
      <c r="R12" s="789">
        <v>0.1</v>
      </c>
      <c r="S12" s="790"/>
      <c r="T12" s="791"/>
      <c r="U12" s="789">
        <v>0.3</v>
      </c>
      <c r="V12" s="790"/>
      <c r="W12" s="791"/>
      <c r="X12" s="77">
        <f>SUM(F12:W12)</f>
        <v>1</v>
      </c>
    </row>
    <row r="13" spans="1:25" ht="12.75" customHeight="1">
      <c r="A13" s="795" t="str">
        <f>RESUMO!A20</f>
        <v>III</v>
      </c>
      <c r="B13" s="797" t="str">
        <f>[3]RESUMO!B15</f>
        <v>ENSAIOS TECNOLÓGICOS DE SOLO E ASFALTO</v>
      </c>
      <c r="C13" s="798"/>
      <c r="D13" s="756">
        <f>E13/$E$50*100</f>
        <v>0.63124685927471091</v>
      </c>
      <c r="E13" s="767">
        <f>'ORÇA '!J20</f>
        <v>5736.94</v>
      </c>
      <c r="F13" s="792">
        <f>$E$13*F15</f>
        <v>573.69399999999996</v>
      </c>
      <c r="G13" s="793"/>
      <c r="H13" s="794"/>
      <c r="I13" s="792">
        <f>$E$13*I15</f>
        <v>573.69399999999996</v>
      </c>
      <c r="J13" s="793"/>
      <c r="K13" s="794"/>
      <c r="L13" s="792">
        <f>$E$13*L15</f>
        <v>860.54099999999994</v>
      </c>
      <c r="M13" s="793"/>
      <c r="N13" s="794"/>
      <c r="O13" s="792">
        <f>$E$13*O15</f>
        <v>860.54099999999994</v>
      </c>
      <c r="P13" s="793"/>
      <c r="Q13" s="794"/>
      <c r="R13" s="792">
        <f>$E$13*R15</f>
        <v>1147.3879999999999</v>
      </c>
      <c r="S13" s="793"/>
      <c r="T13" s="794"/>
      <c r="U13" s="792">
        <f>$E$13*U15</f>
        <v>1721.0819999999999</v>
      </c>
      <c r="V13" s="793"/>
      <c r="W13" s="794"/>
      <c r="X13" s="4">
        <f>SUM(F13:W13)</f>
        <v>5736.94</v>
      </c>
      <c r="Y13" s="4">
        <f>X13-E13</f>
        <v>0</v>
      </c>
    </row>
    <row r="14" spans="1:25" ht="12.75" customHeight="1">
      <c r="A14" s="796"/>
      <c r="B14" s="799"/>
      <c r="C14" s="800"/>
      <c r="D14" s="757"/>
      <c r="E14" s="768"/>
      <c r="F14" s="811"/>
      <c r="G14" s="812"/>
      <c r="H14" s="813"/>
      <c r="I14" s="53"/>
      <c r="J14" s="53"/>
      <c r="K14" s="54"/>
      <c r="L14" s="52"/>
      <c r="M14" s="53"/>
      <c r="N14" s="54"/>
      <c r="O14" s="53"/>
      <c r="P14" s="53"/>
      <c r="Q14" s="54"/>
      <c r="R14" s="53"/>
      <c r="S14" s="53"/>
      <c r="T14" s="53"/>
      <c r="U14" s="53"/>
      <c r="V14" s="53"/>
      <c r="W14" s="54"/>
    </row>
    <row r="15" spans="1:25" ht="12.75" customHeight="1">
      <c r="A15" s="796"/>
      <c r="B15" s="801"/>
      <c r="C15" s="802"/>
      <c r="D15" s="758"/>
      <c r="E15" s="769"/>
      <c r="F15" s="789">
        <v>0.1</v>
      </c>
      <c r="G15" s="790"/>
      <c r="H15" s="791"/>
      <c r="I15" s="789">
        <v>0.1</v>
      </c>
      <c r="J15" s="790"/>
      <c r="K15" s="791"/>
      <c r="L15" s="789">
        <v>0.15</v>
      </c>
      <c r="M15" s="790"/>
      <c r="N15" s="791"/>
      <c r="O15" s="789">
        <v>0.15</v>
      </c>
      <c r="P15" s="790"/>
      <c r="Q15" s="791"/>
      <c r="R15" s="789">
        <v>0.2</v>
      </c>
      <c r="S15" s="790"/>
      <c r="T15" s="791"/>
      <c r="U15" s="789">
        <v>0.3</v>
      </c>
      <c r="V15" s="790"/>
      <c r="W15" s="791"/>
      <c r="X15" s="77">
        <f>SUM(F15:W15)</f>
        <v>1</v>
      </c>
    </row>
    <row r="16" spans="1:25" ht="12.75" customHeight="1">
      <c r="A16" s="795" t="str">
        <f>'ORÇA '!B22</f>
        <v>IV</v>
      </c>
      <c r="B16" s="803" t="str">
        <f>[3]RESUMO!B18</f>
        <v>TERRAPLENAGEM</v>
      </c>
      <c r="C16" s="804"/>
      <c r="D16" s="756">
        <f>E16/$E$50*100</f>
        <v>13.523430814697676</v>
      </c>
      <c r="E16" s="767">
        <f>RESUMO!D23</f>
        <v>122904.55</v>
      </c>
      <c r="F16" s="814">
        <f>$E$16*F18</f>
        <v>24580.910000000003</v>
      </c>
      <c r="G16" s="815"/>
      <c r="H16" s="816"/>
      <c r="I16" s="849">
        <f>$E$16*I18</f>
        <v>24580.910000000003</v>
      </c>
      <c r="J16" s="850"/>
      <c r="K16" s="851"/>
      <c r="L16" s="849">
        <f>$E$16*L18</f>
        <v>24580.910000000003</v>
      </c>
      <c r="M16" s="850"/>
      <c r="N16" s="851"/>
      <c r="O16" s="849">
        <f>$E$16*O18</f>
        <v>24580.910000000003</v>
      </c>
      <c r="P16" s="850"/>
      <c r="Q16" s="851"/>
      <c r="R16" s="849">
        <f>$E$16*R18</f>
        <v>12290.455000000002</v>
      </c>
      <c r="S16" s="850"/>
      <c r="T16" s="851"/>
      <c r="U16" s="849">
        <f>$E$16*U18</f>
        <v>12290.455000000002</v>
      </c>
      <c r="V16" s="850"/>
      <c r="W16" s="851"/>
      <c r="X16" s="4">
        <f>SUM(F16:W16)</f>
        <v>122904.55000000002</v>
      </c>
      <c r="Y16" s="4">
        <f>X16-E16</f>
        <v>0</v>
      </c>
    </row>
    <row r="17" spans="1:25" ht="12.75" customHeight="1">
      <c r="A17" s="796"/>
      <c r="B17" s="785"/>
      <c r="C17" s="786"/>
      <c r="D17" s="757"/>
      <c r="E17" s="768"/>
      <c r="F17" s="811"/>
      <c r="G17" s="812"/>
      <c r="H17" s="813"/>
      <c r="I17" s="53"/>
      <c r="J17" s="53"/>
      <c r="K17" s="54"/>
      <c r="L17" s="52"/>
      <c r="M17" s="53"/>
      <c r="N17" s="54"/>
      <c r="O17" s="53"/>
      <c r="P17" s="53"/>
      <c r="Q17" s="54"/>
      <c r="R17" s="53"/>
      <c r="S17" s="53"/>
      <c r="T17" s="54"/>
      <c r="U17" s="53"/>
      <c r="V17" s="53"/>
      <c r="W17" s="54"/>
    </row>
    <row r="18" spans="1:25" ht="12.75" customHeight="1">
      <c r="A18" s="796"/>
      <c r="B18" s="785"/>
      <c r="C18" s="786"/>
      <c r="D18" s="758"/>
      <c r="E18" s="769"/>
      <c r="F18" s="846">
        <v>0.2</v>
      </c>
      <c r="G18" s="847"/>
      <c r="H18" s="848"/>
      <c r="I18" s="789">
        <v>0.2</v>
      </c>
      <c r="J18" s="790"/>
      <c r="K18" s="791"/>
      <c r="L18" s="789">
        <v>0.2</v>
      </c>
      <c r="M18" s="790"/>
      <c r="N18" s="791"/>
      <c r="O18" s="789">
        <v>0.2</v>
      </c>
      <c r="P18" s="790"/>
      <c r="Q18" s="791"/>
      <c r="R18" s="789">
        <v>0.1</v>
      </c>
      <c r="S18" s="790"/>
      <c r="T18" s="791"/>
      <c r="U18" s="789">
        <v>0.1</v>
      </c>
      <c r="V18" s="790"/>
      <c r="W18" s="791"/>
      <c r="X18" s="77">
        <f>SUM(F18:W18)</f>
        <v>1</v>
      </c>
    </row>
    <row r="19" spans="1:25" ht="12.75" customHeight="1">
      <c r="A19" s="795" t="str">
        <f>RESUMO!A26</f>
        <v>V</v>
      </c>
      <c r="B19" s="803" t="str">
        <f>[3]RESUMO!B21</f>
        <v>PAVIMENTAÇÃO</v>
      </c>
      <c r="C19" s="804"/>
      <c r="D19" s="756">
        <f>E19/$E$50*100</f>
        <v>6.6626354617442454</v>
      </c>
      <c r="E19" s="767">
        <f>RESUMO!D26</f>
        <v>60551.81</v>
      </c>
      <c r="F19" s="792">
        <f>$E$19*F21</f>
        <v>6055.1810000000005</v>
      </c>
      <c r="G19" s="793"/>
      <c r="H19" s="794"/>
      <c r="I19" s="792">
        <f>$E$19*I21</f>
        <v>6055.1810000000005</v>
      </c>
      <c r="J19" s="793"/>
      <c r="K19" s="794"/>
      <c r="L19" s="792">
        <f>$E$19*L21</f>
        <v>12110.362000000001</v>
      </c>
      <c r="M19" s="793"/>
      <c r="N19" s="794"/>
      <c r="O19" s="792">
        <f>$E$19*O21</f>
        <v>12110.362000000001</v>
      </c>
      <c r="P19" s="793"/>
      <c r="Q19" s="794"/>
      <c r="R19" s="792">
        <f>$E$19*R21</f>
        <v>12110.362000000001</v>
      </c>
      <c r="S19" s="793"/>
      <c r="T19" s="794"/>
      <c r="U19" s="792">
        <f>$E$19*U21</f>
        <v>12110.362000000001</v>
      </c>
      <c r="V19" s="793"/>
      <c r="W19" s="794"/>
      <c r="X19" s="4">
        <f>SUM(F19:W19)</f>
        <v>60551.810000000005</v>
      </c>
      <c r="Y19" s="4">
        <f>X19-E19</f>
        <v>0</v>
      </c>
    </row>
    <row r="20" spans="1:25" ht="12.75" customHeight="1">
      <c r="A20" s="796"/>
      <c r="B20" s="785"/>
      <c r="C20" s="786"/>
      <c r="D20" s="757"/>
      <c r="E20" s="768"/>
      <c r="F20" s="811"/>
      <c r="G20" s="812"/>
      <c r="H20" s="813"/>
      <c r="I20" s="53"/>
      <c r="J20" s="53"/>
      <c r="K20" s="54"/>
      <c r="L20" s="52"/>
      <c r="M20" s="53"/>
      <c r="N20" s="54"/>
      <c r="O20" s="53"/>
      <c r="P20" s="53"/>
      <c r="Q20" s="54"/>
      <c r="R20" s="53"/>
      <c r="S20" s="53"/>
      <c r="T20" s="54"/>
      <c r="U20" s="53"/>
      <c r="V20" s="53"/>
      <c r="W20" s="54"/>
    </row>
    <row r="21" spans="1:25" ht="12.75" customHeight="1">
      <c r="A21" s="796"/>
      <c r="B21" s="785"/>
      <c r="C21" s="786"/>
      <c r="D21" s="758"/>
      <c r="E21" s="769"/>
      <c r="F21" s="789">
        <v>0.1</v>
      </c>
      <c r="G21" s="790"/>
      <c r="H21" s="791"/>
      <c r="I21" s="789">
        <v>0.1</v>
      </c>
      <c r="J21" s="790"/>
      <c r="K21" s="791"/>
      <c r="L21" s="789">
        <v>0.2</v>
      </c>
      <c r="M21" s="790"/>
      <c r="N21" s="791"/>
      <c r="O21" s="789">
        <v>0.2</v>
      </c>
      <c r="P21" s="790"/>
      <c r="Q21" s="791"/>
      <c r="R21" s="789">
        <v>0.2</v>
      </c>
      <c r="S21" s="790"/>
      <c r="T21" s="791"/>
      <c r="U21" s="789">
        <v>0.2</v>
      </c>
      <c r="V21" s="790"/>
      <c r="W21" s="791"/>
      <c r="X21" s="77">
        <f>SUM(F21:W21)</f>
        <v>1</v>
      </c>
    </row>
    <row r="22" spans="1:25" ht="12.75" customHeight="1">
      <c r="A22" s="795" t="str">
        <f>RESUMO!A29</f>
        <v>VI</v>
      </c>
      <c r="B22" s="803" t="str">
        <f>RESUMO!B29</f>
        <v>AQUISIÇÃO DE MATERIAL BETUMINOSO (IMPLANTAÇÃO)</v>
      </c>
      <c r="C22" s="804"/>
      <c r="D22" s="756">
        <f>E22/$E$50*100</f>
        <v>8.7513229970026174</v>
      </c>
      <c r="E22" s="767">
        <f>RESUMO!D29</f>
        <v>79534.36</v>
      </c>
      <c r="F22" s="792">
        <f>$E$22*F24</f>
        <v>7953.4360000000006</v>
      </c>
      <c r="G22" s="793"/>
      <c r="H22" s="794"/>
      <c r="I22" s="792">
        <f>$E$22*I24</f>
        <v>7953.4360000000006</v>
      </c>
      <c r="J22" s="793"/>
      <c r="K22" s="794"/>
      <c r="L22" s="792">
        <f>$E$22*L24</f>
        <v>15906.872000000001</v>
      </c>
      <c r="M22" s="793"/>
      <c r="N22" s="794"/>
      <c r="O22" s="792">
        <f>$E$22*O24</f>
        <v>15906.872000000001</v>
      </c>
      <c r="P22" s="793"/>
      <c r="Q22" s="794"/>
      <c r="R22" s="792">
        <f>$E$22*R24</f>
        <v>15906.872000000001</v>
      </c>
      <c r="S22" s="793"/>
      <c r="T22" s="794"/>
      <c r="U22" s="792">
        <f>$E$22*U24</f>
        <v>15906.872000000001</v>
      </c>
      <c r="V22" s="793"/>
      <c r="W22" s="794"/>
      <c r="X22" s="4">
        <f>SUM(F22:W22)</f>
        <v>79534.36</v>
      </c>
      <c r="Y22" s="4">
        <f>X22-E22</f>
        <v>0</v>
      </c>
    </row>
    <row r="23" spans="1:25" ht="12.75" customHeight="1">
      <c r="A23" s="796"/>
      <c r="B23" s="785"/>
      <c r="C23" s="786"/>
      <c r="D23" s="757"/>
      <c r="E23" s="768"/>
      <c r="F23" s="811"/>
      <c r="G23" s="812"/>
      <c r="H23" s="813"/>
      <c r="I23" s="53"/>
      <c r="J23" s="53"/>
      <c r="K23" s="54"/>
      <c r="L23" s="52"/>
      <c r="M23" s="53"/>
      <c r="N23" s="54"/>
      <c r="O23" s="53"/>
      <c r="P23" s="53"/>
      <c r="Q23" s="54"/>
      <c r="R23" s="53"/>
      <c r="S23" s="53"/>
      <c r="T23" s="54"/>
      <c r="U23" s="53"/>
      <c r="V23" s="53"/>
      <c r="W23" s="54"/>
    </row>
    <row r="24" spans="1:25" ht="12.75" customHeight="1">
      <c r="A24" s="796"/>
      <c r="B24" s="785"/>
      <c r="C24" s="786"/>
      <c r="D24" s="758"/>
      <c r="E24" s="769"/>
      <c r="F24" s="789">
        <v>0.1</v>
      </c>
      <c r="G24" s="790"/>
      <c r="H24" s="791"/>
      <c r="I24" s="789">
        <v>0.1</v>
      </c>
      <c r="J24" s="790"/>
      <c r="K24" s="791"/>
      <c r="L24" s="789">
        <v>0.2</v>
      </c>
      <c r="M24" s="790"/>
      <c r="N24" s="791"/>
      <c r="O24" s="789">
        <v>0.2</v>
      </c>
      <c r="P24" s="790"/>
      <c r="Q24" s="791"/>
      <c r="R24" s="789">
        <v>0.2</v>
      </c>
      <c r="S24" s="790"/>
      <c r="T24" s="791"/>
      <c r="U24" s="789">
        <v>0.2</v>
      </c>
      <c r="V24" s="790"/>
      <c r="W24" s="791"/>
      <c r="X24" s="77">
        <f>SUM(F24:W24)</f>
        <v>1</v>
      </c>
    </row>
    <row r="25" spans="1:25" ht="12.75" customHeight="1">
      <c r="A25" s="795" t="str">
        <f>RESUMO!A32</f>
        <v>VII</v>
      </c>
      <c r="B25" s="803" t="str">
        <f>RESUMO!B32</f>
        <v>TRANSPORTE P/ PAVIMENTAÇÃO (IMPLANTAÇÃO)</v>
      </c>
      <c r="C25" s="804"/>
      <c r="D25" s="756">
        <f>E25/$E$50*100</f>
        <v>2.9458256453072957</v>
      </c>
      <c r="E25" s="767">
        <f>RESUMO!D32</f>
        <v>26772.45</v>
      </c>
      <c r="F25" s="792">
        <f>$E$25*F27</f>
        <v>2677.2450000000003</v>
      </c>
      <c r="G25" s="793"/>
      <c r="H25" s="794"/>
      <c r="I25" s="792">
        <f>$E$25*I27</f>
        <v>2677.2450000000003</v>
      </c>
      <c r="J25" s="793"/>
      <c r="K25" s="794"/>
      <c r="L25" s="792">
        <f>$E$25*L27</f>
        <v>5354.4900000000007</v>
      </c>
      <c r="M25" s="793"/>
      <c r="N25" s="794"/>
      <c r="O25" s="792">
        <f>$E$25*O27</f>
        <v>5354.4900000000007</v>
      </c>
      <c r="P25" s="793"/>
      <c r="Q25" s="794"/>
      <c r="R25" s="792">
        <f>$E$25*R27</f>
        <v>5354.4900000000007</v>
      </c>
      <c r="S25" s="793"/>
      <c r="T25" s="794"/>
      <c r="U25" s="792">
        <f>$E$25*U27</f>
        <v>5354.4900000000007</v>
      </c>
      <c r="V25" s="793"/>
      <c r="W25" s="794"/>
      <c r="X25" s="4">
        <f>SUM(F25:W25)</f>
        <v>26772.450000000004</v>
      </c>
      <c r="Y25" s="4">
        <f>X25-E25</f>
        <v>0</v>
      </c>
    </row>
    <row r="26" spans="1:25" ht="12.75" customHeight="1">
      <c r="A26" s="796"/>
      <c r="B26" s="785"/>
      <c r="C26" s="786"/>
      <c r="D26" s="757"/>
      <c r="E26" s="768"/>
      <c r="F26" s="811"/>
      <c r="G26" s="812"/>
      <c r="H26" s="813"/>
      <c r="I26" s="53"/>
      <c r="J26" s="53"/>
      <c r="K26" s="54"/>
      <c r="L26" s="52"/>
      <c r="M26" s="53"/>
      <c r="N26" s="54"/>
      <c r="O26" s="53"/>
      <c r="P26" s="53"/>
      <c r="Q26" s="54"/>
      <c r="R26" s="53"/>
      <c r="S26" s="53"/>
      <c r="T26" s="54"/>
      <c r="U26" s="53"/>
      <c r="V26" s="53"/>
      <c r="W26" s="54"/>
    </row>
    <row r="27" spans="1:25" ht="12.75" customHeight="1">
      <c r="A27" s="796"/>
      <c r="B27" s="785"/>
      <c r="C27" s="786"/>
      <c r="D27" s="758"/>
      <c r="E27" s="769"/>
      <c r="F27" s="789">
        <v>0.1</v>
      </c>
      <c r="G27" s="790"/>
      <c r="H27" s="791"/>
      <c r="I27" s="789">
        <v>0.1</v>
      </c>
      <c r="J27" s="790"/>
      <c r="K27" s="791"/>
      <c r="L27" s="789">
        <v>0.2</v>
      </c>
      <c r="M27" s="790"/>
      <c r="N27" s="791"/>
      <c r="O27" s="789">
        <v>0.2</v>
      </c>
      <c r="P27" s="790"/>
      <c r="Q27" s="791"/>
      <c r="R27" s="789">
        <v>0.2</v>
      </c>
      <c r="S27" s="790"/>
      <c r="T27" s="791"/>
      <c r="U27" s="789">
        <v>0.2</v>
      </c>
      <c r="V27" s="790"/>
      <c r="W27" s="791"/>
      <c r="X27" s="77">
        <f>SUM(F27:W27)</f>
        <v>1</v>
      </c>
    </row>
    <row r="28" spans="1:25" ht="12.75" customHeight="1">
      <c r="A28" s="795" t="str">
        <f>RESUMO!A35</f>
        <v>VIII</v>
      </c>
      <c r="B28" s="803" t="str">
        <f>[3]RESUMO!B24</f>
        <v>SINALIZAÇÃO HORIZONTAL/VERTICAL</v>
      </c>
      <c r="C28" s="804"/>
      <c r="D28" s="141"/>
      <c r="E28" s="767">
        <f>'ORÇA '!J59</f>
        <v>5379.8899999999994</v>
      </c>
      <c r="F28" s="805"/>
      <c r="G28" s="806"/>
      <c r="H28" s="807"/>
      <c r="I28" s="771"/>
      <c r="J28" s="771"/>
      <c r="K28" s="772"/>
      <c r="L28" s="770">
        <f>$E$28*L30</f>
        <v>1075.9779999999998</v>
      </c>
      <c r="M28" s="771"/>
      <c r="N28" s="772"/>
      <c r="O28" s="770">
        <f>$E$28*O30</f>
        <v>1075.9779999999998</v>
      </c>
      <c r="P28" s="771"/>
      <c r="Q28" s="772"/>
      <c r="R28" s="770">
        <f>$E$28*R30</f>
        <v>1613.9669999999999</v>
      </c>
      <c r="S28" s="771"/>
      <c r="T28" s="772"/>
      <c r="U28" s="770">
        <f>$E$28*U30</f>
        <v>1613.9669999999999</v>
      </c>
      <c r="V28" s="771"/>
      <c r="W28" s="772"/>
      <c r="X28" s="4">
        <f>SUM(F28:W28)</f>
        <v>5379.8899999999994</v>
      </c>
      <c r="Y28" s="4">
        <f>X28-E28</f>
        <v>0</v>
      </c>
    </row>
    <row r="29" spans="1:25" ht="12.75" customHeight="1">
      <c r="A29" s="796"/>
      <c r="B29" s="785"/>
      <c r="C29" s="786"/>
      <c r="D29" s="140">
        <f>E28/$E$50*100</f>
        <v>0.5919599413177451</v>
      </c>
      <c r="E29" s="768"/>
      <c r="F29" s="78"/>
      <c r="G29" s="79"/>
      <c r="H29" s="143"/>
      <c r="I29" s="771"/>
      <c r="J29" s="771"/>
      <c r="K29" s="772"/>
      <c r="L29" s="53"/>
      <c r="M29" s="53"/>
      <c r="N29" s="53"/>
      <c r="O29" s="53"/>
      <c r="P29" s="53"/>
      <c r="Q29" s="53"/>
      <c r="R29" s="52"/>
      <c r="S29" s="53"/>
      <c r="T29" s="54"/>
      <c r="U29" s="52"/>
      <c r="V29" s="53"/>
      <c r="W29" s="54"/>
    </row>
    <row r="30" spans="1:25" ht="12.75" customHeight="1">
      <c r="A30" s="796"/>
      <c r="B30" s="785"/>
      <c r="C30" s="786"/>
      <c r="D30" s="142"/>
      <c r="E30" s="769"/>
      <c r="F30" s="808"/>
      <c r="G30" s="809"/>
      <c r="H30" s="810"/>
      <c r="I30" s="773"/>
      <c r="J30" s="774"/>
      <c r="K30" s="775"/>
      <c r="L30" s="773">
        <v>0.2</v>
      </c>
      <c r="M30" s="774"/>
      <c r="N30" s="775"/>
      <c r="O30" s="773">
        <v>0.2</v>
      </c>
      <c r="P30" s="774"/>
      <c r="Q30" s="775"/>
      <c r="R30" s="773">
        <v>0.3</v>
      </c>
      <c r="S30" s="774"/>
      <c r="T30" s="775"/>
      <c r="U30" s="773">
        <v>0.3</v>
      </c>
      <c r="V30" s="774"/>
      <c r="W30" s="775"/>
      <c r="X30" s="77">
        <f>SUM(F30:W30)</f>
        <v>1</v>
      </c>
    </row>
    <row r="31" spans="1:25" ht="12.75" customHeight="1">
      <c r="A31" s="795" t="str">
        <f>RESUMO!A38</f>
        <v>IX</v>
      </c>
      <c r="B31" s="803" t="str">
        <f>[4]RESUMO!B28</f>
        <v>OBRAS COMPLEMENTARES</v>
      </c>
      <c r="C31" s="804"/>
      <c r="D31" s="756">
        <f>E31/$E$50*100</f>
        <v>28.670808196986286</v>
      </c>
      <c r="E31" s="767">
        <f>RESUMO!D38</f>
        <v>260567.96</v>
      </c>
      <c r="F31" s="770">
        <f>$E$31*F33</f>
        <v>26056.796000000002</v>
      </c>
      <c r="G31" s="771"/>
      <c r="H31" s="772"/>
      <c r="I31" s="770">
        <f>$E$31*I33</f>
        <v>26056.796000000002</v>
      </c>
      <c r="J31" s="771"/>
      <c r="K31" s="772"/>
      <c r="L31" s="770">
        <f>$E$31*L33</f>
        <v>52113.592000000004</v>
      </c>
      <c r="M31" s="771"/>
      <c r="N31" s="772"/>
      <c r="O31" s="770">
        <f>$E$31*O33</f>
        <v>52113.592000000004</v>
      </c>
      <c r="P31" s="771"/>
      <c r="Q31" s="772"/>
      <c r="R31" s="770">
        <f>$E$31*R33</f>
        <v>52113.592000000004</v>
      </c>
      <c r="S31" s="771"/>
      <c r="T31" s="772"/>
      <c r="U31" s="770">
        <f>$E$31*U33</f>
        <v>52113.592000000004</v>
      </c>
      <c r="V31" s="771"/>
      <c r="W31" s="772"/>
      <c r="X31" s="4">
        <f>SUM(F31:W31)</f>
        <v>260567.96000000002</v>
      </c>
      <c r="Y31" s="4">
        <f>X31-E31</f>
        <v>0</v>
      </c>
    </row>
    <row r="32" spans="1:25" ht="12.75" customHeight="1">
      <c r="A32" s="796"/>
      <c r="B32" s="785"/>
      <c r="C32" s="786"/>
      <c r="D32" s="757"/>
      <c r="E32" s="768"/>
      <c r="F32" s="53"/>
      <c r="G32" s="53"/>
      <c r="H32" s="54"/>
      <c r="I32" s="53"/>
      <c r="J32" s="53"/>
      <c r="K32" s="54"/>
      <c r="L32" s="53"/>
      <c r="M32" s="53"/>
      <c r="N32" s="54"/>
      <c r="O32" s="53"/>
      <c r="P32" s="53"/>
      <c r="Q32" s="54"/>
      <c r="R32" s="53"/>
      <c r="S32" s="53"/>
      <c r="T32" s="53"/>
      <c r="U32" s="53"/>
      <c r="V32" s="53"/>
      <c r="W32" s="54"/>
    </row>
    <row r="33" spans="1:39" ht="12.75" customHeight="1">
      <c r="A33" s="796"/>
      <c r="B33" s="785"/>
      <c r="C33" s="786"/>
      <c r="D33" s="758"/>
      <c r="E33" s="769"/>
      <c r="F33" s="773">
        <v>0.1</v>
      </c>
      <c r="G33" s="774"/>
      <c r="H33" s="775"/>
      <c r="I33" s="773">
        <v>0.1</v>
      </c>
      <c r="J33" s="774"/>
      <c r="K33" s="775"/>
      <c r="L33" s="773">
        <v>0.2</v>
      </c>
      <c r="M33" s="774"/>
      <c r="N33" s="775"/>
      <c r="O33" s="773">
        <v>0.2</v>
      </c>
      <c r="P33" s="774"/>
      <c r="Q33" s="775"/>
      <c r="R33" s="773">
        <v>0.2</v>
      </c>
      <c r="S33" s="774"/>
      <c r="T33" s="775"/>
      <c r="U33" s="773">
        <v>0.2</v>
      </c>
      <c r="V33" s="774"/>
      <c r="W33" s="775"/>
      <c r="X33" s="77">
        <f>SUM(F33:W33)</f>
        <v>1</v>
      </c>
    </row>
    <row r="34" spans="1:39" ht="12.75" customHeight="1">
      <c r="A34" s="795" t="str">
        <f>RESUMO!A41</f>
        <v>X</v>
      </c>
      <c r="B34" s="803" t="str">
        <f>[3]RESUMO!B30</f>
        <v>DRENAGEM</v>
      </c>
      <c r="C34" s="804"/>
      <c r="D34" s="756">
        <f>E34/$E$50*100</f>
        <v>6.9113462445590566</v>
      </c>
      <c r="E34" s="767">
        <f>'ORÇA '!J79</f>
        <v>62812.160000000003</v>
      </c>
      <c r="F34" s="770">
        <f>$E$34*F36</f>
        <v>9421.8240000000005</v>
      </c>
      <c r="G34" s="771"/>
      <c r="H34" s="772"/>
      <c r="I34" s="770">
        <f>$E$34*I36</f>
        <v>6281.2160000000003</v>
      </c>
      <c r="J34" s="771"/>
      <c r="K34" s="772"/>
      <c r="L34" s="770">
        <f>$E$34*L36</f>
        <v>6281.2160000000003</v>
      </c>
      <c r="M34" s="771"/>
      <c r="N34" s="772"/>
      <c r="O34" s="770">
        <f>$E$34*O36</f>
        <v>12562.432000000001</v>
      </c>
      <c r="P34" s="771"/>
      <c r="Q34" s="772"/>
      <c r="R34" s="770">
        <f>$E$34*R36</f>
        <v>12562.432000000001</v>
      </c>
      <c r="S34" s="771"/>
      <c r="T34" s="772"/>
      <c r="U34" s="770">
        <f>$E$34*U36</f>
        <v>15703.04</v>
      </c>
      <c r="V34" s="771"/>
      <c r="W34" s="772"/>
      <c r="X34" s="4">
        <f>SUM(F34:W34)</f>
        <v>62812.160000000003</v>
      </c>
      <c r="Y34" s="4">
        <f>X34-E34</f>
        <v>0</v>
      </c>
    </row>
    <row r="35" spans="1:39" ht="12.75" customHeight="1">
      <c r="A35" s="796"/>
      <c r="B35" s="785"/>
      <c r="C35" s="786"/>
      <c r="D35" s="757"/>
      <c r="E35" s="768"/>
      <c r="F35" s="53"/>
      <c r="G35" s="53"/>
      <c r="H35" s="54"/>
      <c r="I35" s="53"/>
      <c r="J35" s="53"/>
      <c r="K35" s="54"/>
      <c r="L35" s="53"/>
      <c r="M35" s="53"/>
      <c r="N35" s="54"/>
      <c r="O35" s="53"/>
      <c r="P35" s="53"/>
      <c r="Q35" s="54"/>
      <c r="R35" s="53"/>
      <c r="S35" s="53"/>
      <c r="T35" s="53"/>
      <c r="U35" s="53"/>
      <c r="V35" s="53"/>
      <c r="W35" s="54"/>
    </row>
    <row r="36" spans="1:39" ht="12.75" customHeight="1">
      <c r="A36" s="796"/>
      <c r="B36" s="785"/>
      <c r="C36" s="786"/>
      <c r="D36" s="758"/>
      <c r="E36" s="769"/>
      <c r="F36" s="773">
        <v>0.15</v>
      </c>
      <c r="G36" s="774"/>
      <c r="H36" s="775"/>
      <c r="I36" s="773">
        <v>0.1</v>
      </c>
      <c r="J36" s="774"/>
      <c r="K36" s="775"/>
      <c r="L36" s="773">
        <v>0.1</v>
      </c>
      <c r="M36" s="774"/>
      <c r="N36" s="775"/>
      <c r="O36" s="773">
        <v>0.2</v>
      </c>
      <c r="P36" s="774"/>
      <c r="Q36" s="775"/>
      <c r="R36" s="773">
        <v>0.2</v>
      </c>
      <c r="S36" s="774"/>
      <c r="T36" s="775"/>
      <c r="U36" s="773">
        <v>0.25</v>
      </c>
      <c r="V36" s="774"/>
      <c r="W36" s="775"/>
      <c r="X36" s="77">
        <f>SUM(F36:W36)</f>
        <v>1</v>
      </c>
    </row>
    <row r="37" spans="1:39" ht="12.75" customHeight="1">
      <c r="A37" s="795" t="str">
        <f>RESUMO!A44</f>
        <v>XI</v>
      </c>
      <c r="B37" s="797" t="str">
        <f>[3]RESUMO!B33</f>
        <v>FORNECIMENTO/ASSENTAMENTO DE TUBOS TIPO PA-1 e PA-2</v>
      </c>
      <c r="C37" s="798"/>
      <c r="D37" s="756">
        <f>E37/$E$50*100</f>
        <v>12.204785576832194</v>
      </c>
      <c r="E37" s="767">
        <f>RESUMO!D44</f>
        <v>110920.34999999999</v>
      </c>
      <c r="F37" s="770">
        <f>$E$37*F39</f>
        <v>22184.07</v>
      </c>
      <c r="G37" s="771"/>
      <c r="H37" s="772"/>
      <c r="I37" s="770">
        <f>$E$37*I39</f>
        <v>22184.07</v>
      </c>
      <c r="J37" s="771"/>
      <c r="K37" s="772"/>
      <c r="L37" s="770">
        <f>$E$37*L39</f>
        <v>22184.07</v>
      </c>
      <c r="M37" s="771"/>
      <c r="N37" s="772"/>
      <c r="O37" s="770">
        <f>$E$37*O39</f>
        <v>22184.07</v>
      </c>
      <c r="P37" s="771"/>
      <c r="Q37" s="772"/>
      <c r="R37" s="770">
        <f>$E$37*R39</f>
        <v>11092.035</v>
      </c>
      <c r="S37" s="771"/>
      <c r="T37" s="772"/>
      <c r="U37" s="770">
        <f>$E$37*U39</f>
        <v>11092.035</v>
      </c>
      <c r="V37" s="771"/>
      <c r="W37" s="772"/>
      <c r="X37" s="4">
        <f>SUM(F37:W37)</f>
        <v>110920.35</v>
      </c>
      <c r="Y37" s="4">
        <f>X37-E37</f>
        <v>0</v>
      </c>
      <c r="AM37" s="852"/>
    </row>
    <row r="38" spans="1:39" ht="12.75" customHeight="1">
      <c r="A38" s="796"/>
      <c r="B38" s="799"/>
      <c r="C38" s="800"/>
      <c r="D38" s="757"/>
      <c r="E38" s="768"/>
      <c r="F38" s="53"/>
      <c r="G38" s="53"/>
      <c r="H38" s="54"/>
      <c r="I38" s="53"/>
      <c r="J38" s="53"/>
      <c r="K38" s="54"/>
      <c r="L38" s="53"/>
      <c r="M38" s="53"/>
      <c r="N38" s="54"/>
      <c r="O38" s="53"/>
      <c r="P38" s="53"/>
      <c r="Q38" s="54"/>
      <c r="R38" s="53"/>
      <c r="S38" s="53"/>
      <c r="T38" s="53"/>
      <c r="U38" s="53"/>
      <c r="V38" s="53"/>
      <c r="W38" s="54"/>
      <c r="AM38" s="852"/>
    </row>
    <row r="39" spans="1:39" ht="12.75" customHeight="1">
      <c r="A39" s="796"/>
      <c r="B39" s="801"/>
      <c r="C39" s="802"/>
      <c r="D39" s="758"/>
      <c r="E39" s="769"/>
      <c r="F39" s="773">
        <v>0.2</v>
      </c>
      <c r="G39" s="774"/>
      <c r="H39" s="775"/>
      <c r="I39" s="773">
        <v>0.2</v>
      </c>
      <c r="J39" s="774"/>
      <c r="K39" s="775"/>
      <c r="L39" s="773">
        <v>0.2</v>
      </c>
      <c r="M39" s="774"/>
      <c r="N39" s="775"/>
      <c r="O39" s="773">
        <v>0.2</v>
      </c>
      <c r="P39" s="774"/>
      <c r="Q39" s="775"/>
      <c r="R39" s="773">
        <v>0.1</v>
      </c>
      <c r="S39" s="774"/>
      <c r="T39" s="775"/>
      <c r="U39" s="773">
        <v>0.1</v>
      </c>
      <c r="V39" s="774"/>
      <c r="W39" s="775"/>
      <c r="X39" s="77">
        <f>SUM(F39:W39)</f>
        <v>1</v>
      </c>
      <c r="AM39" s="852"/>
    </row>
    <row r="40" spans="1:39" ht="12.75" customHeight="1">
      <c r="A40" s="795" t="str">
        <f>RESUMO!A47</f>
        <v>XII</v>
      </c>
      <c r="B40" s="797" t="str">
        <f>[3]RESUMO!B36</f>
        <v xml:space="preserve">ASSENTAMENTO E REJUNTAMENTO DE TUBO DE CONCRETO </v>
      </c>
      <c r="C40" s="798"/>
      <c r="D40" s="756">
        <f>E40/$E$50*100</f>
        <v>3.5067081545909686</v>
      </c>
      <c r="E40" s="767">
        <f>RESUMO!D47</f>
        <v>31869.9</v>
      </c>
      <c r="F40" s="770">
        <f>$E$40*F42</f>
        <v>6373.9800000000005</v>
      </c>
      <c r="G40" s="771"/>
      <c r="H40" s="772"/>
      <c r="I40" s="770">
        <f>$E$40*I42</f>
        <v>6373.9800000000005</v>
      </c>
      <c r="J40" s="771"/>
      <c r="K40" s="772"/>
      <c r="L40" s="770">
        <f>$E$40*L42</f>
        <v>6373.9800000000005</v>
      </c>
      <c r="M40" s="771"/>
      <c r="N40" s="772"/>
      <c r="O40" s="770">
        <f>$E$40*O42</f>
        <v>6373.9800000000005</v>
      </c>
      <c r="P40" s="771"/>
      <c r="Q40" s="772"/>
      <c r="R40" s="770">
        <f>$E$40*R42</f>
        <v>3186.9900000000002</v>
      </c>
      <c r="S40" s="771"/>
      <c r="T40" s="772"/>
      <c r="U40" s="770">
        <f>$E$40*U42</f>
        <v>3186.9900000000002</v>
      </c>
      <c r="V40" s="771"/>
      <c r="W40" s="772"/>
      <c r="X40" s="4">
        <f>SUM(F40:W40)</f>
        <v>31869.900000000005</v>
      </c>
      <c r="Y40" s="4">
        <f>X40-E40</f>
        <v>0</v>
      </c>
      <c r="AM40" s="852"/>
    </row>
    <row r="41" spans="1:39" ht="12.75" customHeight="1">
      <c r="A41" s="796"/>
      <c r="B41" s="799"/>
      <c r="C41" s="800"/>
      <c r="D41" s="757"/>
      <c r="E41" s="768"/>
      <c r="F41" s="53"/>
      <c r="G41" s="53"/>
      <c r="H41" s="54"/>
      <c r="I41" s="53"/>
      <c r="J41" s="53"/>
      <c r="K41" s="54"/>
      <c r="L41" s="53"/>
      <c r="M41" s="53"/>
      <c r="N41" s="54"/>
      <c r="O41" s="53"/>
      <c r="P41" s="53"/>
      <c r="Q41" s="54"/>
      <c r="R41" s="53"/>
      <c r="S41" s="53"/>
      <c r="T41" s="53"/>
      <c r="U41" s="53"/>
      <c r="V41" s="53"/>
      <c r="W41" s="54"/>
    </row>
    <row r="42" spans="1:39" ht="12.75" customHeight="1">
      <c r="A42" s="796"/>
      <c r="B42" s="801"/>
      <c r="C42" s="802"/>
      <c r="D42" s="758"/>
      <c r="E42" s="769"/>
      <c r="F42" s="773">
        <v>0.2</v>
      </c>
      <c r="G42" s="774"/>
      <c r="H42" s="775"/>
      <c r="I42" s="773">
        <v>0.2</v>
      </c>
      <c r="J42" s="774"/>
      <c r="K42" s="775"/>
      <c r="L42" s="773">
        <v>0.2</v>
      </c>
      <c r="M42" s="774"/>
      <c r="N42" s="775"/>
      <c r="O42" s="773">
        <v>0.2</v>
      </c>
      <c r="P42" s="774"/>
      <c r="Q42" s="775"/>
      <c r="R42" s="773">
        <v>0.1</v>
      </c>
      <c r="S42" s="774"/>
      <c r="T42" s="775"/>
      <c r="U42" s="773">
        <v>0.1</v>
      </c>
      <c r="V42" s="774"/>
      <c r="W42" s="775"/>
      <c r="X42" s="77">
        <f>SUM(F42:W42)</f>
        <v>1</v>
      </c>
    </row>
    <row r="43" spans="1:39" ht="12.75" customHeight="1">
      <c r="A43" s="754" t="str">
        <f>RESUMO!A50</f>
        <v>XIII</v>
      </c>
      <c r="B43" s="755" t="str">
        <f>RESUMO!B50</f>
        <v>ÓRGÃOS ACESSÓRIOS</v>
      </c>
      <c r="C43" s="755"/>
      <c r="D43" s="756">
        <f>E43/$E$50*100</f>
        <v>6.6321411991967212</v>
      </c>
      <c r="E43" s="767">
        <f>RESUMO!D50</f>
        <v>60274.67</v>
      </c>
      <c r="F43" s="770">
        <f>$E$43*F45</f>
        <v>12054.934000000001</v>
      </c>
      <c r="G43" s="771"/>
      <c r="H43" s="772"/>
      <c r="I43" s="770">
        <f>$E$43*I45</f>
        <v>12054.934000000001</v>
      </c>
      <c r="J43" s="771"/>
      <c r="K43" s="772"/>
      <c r="L43" s="770">
        <f>$E$43*L45</f>
        <v>12054.934000000001</v>
      </c>
      <c r="M43" s="771"/>
      <c r="N43" s="772"/>
      <c r="O43" s="770">
        <f>$E$43*O45</f>
        <v>12054.934000000001</v>
      </c>
      <c r="P43" s="771"/>
      <c r="Q43" s="772"/>
      <c r="R43" s="770">
        <f>$E$43*R45</f>
        <v>6027.4670000000006</v>
      </c>
      <c r="S43" s="771"/>
      <c r="T43" s="772"/>
      <c r="U43" s="770">
        <f>$E$43*U45</f>
        <v>6027.4670000000006</v>
      </c>
      <c r="V43" s="771"/>
      <c r="W43" s="772"/>
      <c r="X43" s="4">
        <f>SUM(F43:W43)</f>
        <v>60274.670000000013</v>
      </c>
      <c r="Y43" s="4">
        <f>X43-E43</f>
        <v>0</v>
      </c>
    </row>
    <row r="44" spans="1:39" ht="12.75" customHeight="1">
      <c r="A44" s="754"/>
      <c r="B44" s="755"/>
      <c r="C44" s="755"/>
      <c r="D44" s="757"/>
      <c r="E44" s="768"/>
      <c r="F44" s="53"/>
      <c r="G44" s="53"/>
      <c r="H44" s="54"/>
      <c r="I44" s="53"/>
      <c r="J44" s="53"/>
      <c r="K44" s="54"/>
      <c r="L44" s="53"/>
      <c r="M44" s="53"/>
      <c r="N44" s="54"/>
      <c r="O44" s="53"/>
      <c r="P44" s="53"/>
      <c r="Q44" s="54"/>
      <c r="R44" s="53"/>
      <c r="S44" s="53"/>
      <c r="T44" s="53"/>
      <c r="U44" s="53"/>
      <c r="V44" s="53"/>
      <c r="W44" s="54"/>
    </row>
    <row r="45" spans="1:39" ht="12.75" customHeight="1">
      <c r="A45" s="754"/>
      <c r="B45" s="755"/>
      <c r="C45" s="755"/>
      <c r="D45" s="758"/>
      <c r="E45" s="769"/>
      <c r="F45" s="773">
        <v>0.2</v>
      </c>
      <c r="G45" s="774"/>
      <c r="H45" s="775"/>
      <c r="I45" s="773">
        <v>0.2</v>
      </c>
      <c r="J45" s="774"/>
      <c r="K45" s="775"/>
      <c r="L45" s="773">
        <v>0.2</v>
      </c>
      <c r="M45" s="774"/>
      <c r="N45" s="775"/>
      <c r="O45" s="773">
        <v>0.2</v>
      </c>
      <c r="P45" s="774"/>
      <c r="Q45" s="775"/>
      <c r="R45" s="773">
        <v>0.1</v>
      </c>
      <c r="S45" s="774"/>
      <c r="T45" s="775"/>
      <c r="U45" s="773">
        <v>0.1</v>
      </c>
      <c r="V45" s="774"/>
      <c r="W45" s="775"/>
      <c r="X45" s="77">
        <f>SUM(F45:W45)</f>
        <v>1</v>
      </c>
    </row>
    <row r="46" spans="1:39" ht="12.75" customHeight="1">
      <c r="A46" s="754" t="str">
        <f>RESUMO!A53</f>
        <v>XII</v>
      </c>
      <c r="B46" s="755" t="str">
        <f>RESUMO!B53</f>
        <v>CONTROLE E RECUPERAÇÃO AMBIENTAL</v>
      </c>
      <c r="C46" s="755"/>
      <c r="D46" s="756">
        <f>E46/$E$50*100</f>
        <v>1.5329248139386746</v>
      </c>
      <c r="E46" s="767">
        <f>RESUMO!D53</f>
        <v>13931.63</v>
      </c>
      <c r="F46" s="770">
        <f>$E$46*F48</f>
        <v>2786.326</v>
      </c>
      <c r="G46" s="771"/>
      <c r="H46" s="772"/>
      <c r="I46" s="770">
        <f>$E$46*I48</f>
        <v>2786.326</v>
      </c>
      <c r="J46" s="771"/>
      <c r="K46" s="772"/>
      <c r="L46" s="770">
        <f>$E$46*L48</f>
        <v>2786.326</v>
      </c>
      <c r="M46" s="771"/>
      <c r="N46" s="772"/>
      <c r="O46" s="770">
        <f>$E$46*O48</f>
        <v>2786.326</v>
      </c>
      <c r="P46" s="771"/>
      <c r="Q46" s="772"/>
      <c r="R46" s="770">
        <f>$E$46*R48</f>
        <v>1393.163</v>
      </c>
      <c r="S46" s="771"/>
      <c r="T46" s="772"/>
      <c r="U46" s="770">
        <f>$E$46*U48</f>
        <v>1393.163</v>
      </c>
      <c r="V46" s="771"/>
      <c r="W46" s="772"/>
      <c r="X46" s="4">
        <f>SUM(F46:W46)</f>
        <v>13931.630000000001</v>
      </c>
      <c r="Y46" s="4">
        <f>X46-E46</f>
        <v>0</v>
      </c>
    </row>
    <row r="47" spans="1:39" ht="12.75" customHeight="1">
      <c r="A47" s="754"/>
      <c r="B47" s="755"/>
      <c r="C47" s="755"/>
      <c r="D47" s="757"/>
      <c r="E47" s="768"/>
      <c r="F47" s="53"/>
      <c r="G47" s="53"/>
      <c r="H47" s="54"/>
      <c r="I47" s="53"/>
      <c r="J47" s="53"/>
      <c r="K47" s="54"/>
      <c r="L47" s="53"/>
      <c r="M47" s="53"/>
      <c r="N47" s="54"/>
      <c r="O47" s="53"/>
      <c r="P47" s="53"/>
      <c r="Q47" s="54"/>
      <c r="R47" s="53"/>
      <c r="S47" s="53"/>
      <c r="T47" s="53"/>
      <c r="U47" s="53"/>
      <c r="V47" s="53"/>
      <c r="W47" s="54"/>
    </row>
    <row r="48" spans="1:39" ht="12.75" customHeight="1">
      <c r="A48" s="754"/>
      <c r="B48" s="755"/>
      <c r="C48" s="755"/>
      <c r="D48" s="758"/>
      <c r="E48" s="769"/>
      <c r="F48" s="773">
        <v>0.2</v>
      </c>
      <c r="G48" s="774"/>
      <c r="H48" s="775"/>
      <c r="I48" s="773">
        <v>0.2</v>
      </c>
      <c r="J48" s="774"/>
      <c r="K48" s="775"/>
      <c r="L48" s="773">
        <v>0.2</v>
      </c>
      <c r="M48" s="774"/>
      <c r="N48" s="775"/>
      <c r="O48" s="773">
        <v>0.2</v>
      </c>
      <c r="P48" s="774"/>
      <c r="Q48" s="775"/>
      <c r="R48" s="773">
        <v>0.1</v>
      </c>
      <c r="S48" s="774"/>
      <c r="T48" s="775"/>
      <c r="U48" s="773">
        <v>0.1</v>
      </c>
      <c r="V48" s="774"/>
      <c r="W48" s="775"/>
      <c r="X48" s="77">
        <f>SUM(F48:W48)</f>
        <v>1</v>
      </c>
    </row>
    <row r="49" spans="1:25" ht="12.75" customHeight="1">
      <c r="A49" s="189"/>
      <c r="B49" s="785"/>
      <c r="C49" s="786"/>
      <c r="D49" s="190"/>
      <c r="E49" s="188"/>
      <c r="F49" s="773"/>
      <c r="G49" s="774"/>
      <c r="H49" s="775"/>
      <c r="I49" s="773"/>
      <c r="J49" s="774"/>
      <c r="K49" s="775"/>
      <c r="L49" s="773"/>
      <c r="M49" s="774"/>
      <c r="N49" s="775"/>
      <c r="O49" s="773"/>
      <c r="P49" s="774"/>
      <c r="Q49" s="775"/>
      <c r="R49" s="773"/>
      <c r="S49" s="774"/>
      <c r="T49" s="775"/>
      <c r="U49" s="773"/>
      <c r="V49" s="774"/>
      <c r="W49" s="775"/>
      <c r="X49" s="77">
        <f>SUM(F49:W49)</f>
        <v>0</v>
      </c>
    </row>
    <row r="50" spans="1:25" ht="12.75" customHeight="1">
      <c r="A50" s="776" t="s">
        <v>90</v>
      </c>
      <c r="B50" s="777"/>
      <c r="C50" s="778"/>
      <c r="D50" s="55">
        <f>SUM(D7:D49)</f>
        <v>99.999999999999986</v>
      </c>
      <c r="E50" s="56">
        <f>E7+E10+E13+E16+E19+E22+E25+E28+E31+E34+E37+E40+E43+E46</f>
        <v>908826.70000000007</v>
      </c>
      <c r="F50" s="782">
        <f>F51/$E$50</f>
        <v>0.14973617192364616</v>
      </c>
      <c r="G50" s="783"/>
      <c r="H50" s="784"/>
      <c r="I50" s="782">
        <f>I51/$E$50</f>
        <v>0.14244380804393181</v>
      </c>
      <c r="J50" s="783"/>
      <c r="K50" s="784"/>
      <c r="L50" s="782">
        <f>L51/$E$50</f>
        <v>0.19277303032580362</v>
      </c>
      <c r="M50" s="783"/>
      <c r="N50" s="784"/>
      <c r="O50" s="782">
        <f>O51/$E$50</f>
        <v>0.19608620323324571</v>
      </c>
      <c r="P50" s="783"/>
      <c r="Q50" s="784"/>
      <c r="R50" s="782">
        <f>R51/$E$50</f>
        <v>0.15383875990879228</v>
      </c>
      <c r="S50" s="783"/>
      <c r="T50" s="784"/>
      <c r="U50" s="782">
        <f>U51/$E$50</f>
        <v>0.16512202656458047</v>
      </c>
      <c r="V50" s="783"/>
      <c r="W50" s="784"/>
      <c r="X50" s="77">
        <f>SUM(F50:W50)</f>
        <v>1</v>
      </c>
      <c r="Y50" s="4">
        <f>X7+X10+X13+X16+X19+X22+X25+X28+X31+X34+X37+X40+X43+X46</f>
        <v>908826.70000000007</v>
      </c>
    </row>
    <row r="51" spans="1:25">
      <c r="A51" s="776" t="s">
        <v>91</v>
      </c>
      <c r="B51" s="777"/>
      <c r="C51" s="778"/>
      <c r="D51" s="787" t="s">
        <v>92</v>
      </c>
      <c r="E51" s="788"/>
      <c r="F51" s="761">
        <f>F7+F10+F13+F16+F19+F22+F25+F28+F31+F34+F37+F40+F43+F46</f>
        <v>136084.231</v>
      </c>
      <c r="G51" s="762"/>
      <c r="H51" s="763"/>
      <c r="I51" s="761">
        <f>I7+I10+I13+I16+I19+I22+I25+I28+I31+I34+I37+I40+I43+I46</f>
        <v>129456.736</v>
      </c>
      <c r="J51" s="762"/>
      <c r="K51" s="763"/>
      <c r="L51" s="761">
        <f>L7+L10+L13+L16+L19+L22+L25+L28+L31+L34+L37+L40+L43+L46</f>
        <v>175197.27700000003</v>
      </c>
      <c r="M51" s="762"/>
      <c r="N51" s="763"/>
      <c r="O51" s="761">
        <f>O7+O10+O13+O16+O19+O22+O25+O28+O31+O34+O37+O40+O43+O46</f>
        <v>178208.37700000004</v>
      </c>
      <c r="P51" s="762"/>
      <c r="Q51" s="763"/>
      <c r="R51" s="761">
        <f>R7+R10+R13+R16+R19+R22+R25+R28+R31+R34+R37+R40+R43+R46</f>
        <v>139812.77249999999</v>
      </c>
      <c r="S51" s="762"/>
      <c r="T51" s="763"/>
      <c r="U51" s="761">
        <f>U7+U10+U13+U16+U19+U22+U25+U28+U31+U34+U37+U40+U43+U46</f>
        <v>150067.30650000001</v>
      </c>
      <c r="V51" s="762"/>
      <c r="W51" s="763"/>
      <c r="X51" s="4">
        <f>SUM(F51:W51)</f>
        <v>908826.7</v>
      </c>
    </row>
    <row r="52" spans="1:25">
      <c r="A52" s="779"/>
      <c r="B52" s="780"/>
      <c r="C52" s="781"/>
      <c r="D52" s="759" t="s">
        <v>93</v>
      </c>
      <c r="E52" s="760"/>
      <c r="F52" s="761">
        <f>F51</f>
        <v>136084.231</v>
      </c>
      <c r="G52" s="762"/>
      <c r="H52" s="763"/>
      <c r="I52" s="761">
        <f>F52+I51</f>
        <v>265540.967</v>
      </c>
      <c r="J52" s="762"/>
      <c r="K52" s="763"/>
      <c r="L52" s="761">
        <f>I52+L51</f>
        <v>440738.24400000006</v>
      </c>
      <c r="M52" s="762"/>
      <c r="N52" s="763"/>
      <c r="O52" s="761">
        <f>L52+O51</f>
        <v>618946.62100000004</v>
      </c>
      <c r="P52" s="762"/>
      <c r="Q52" s="763"/>
      <c r="R52" s="761">
        <f>O52+R51</f>
        <v>758759.39350000001</v>
      </c>
      <c r="S52" s="762"/>
      <c r="T52" s="763"/>
      <c r="U52" s="764">
        <f>R52+U51</f>
        <v>908826.7</v>
      </c>
      <c r="V52" s="765"/>
      <c r="W52" s="766"/>
      <c r="Y52" s="4">
        <f>[3]RESUMO!C44-[3]CFF!U42</f>
        <v>0</v>
      </c>
    </row>
    <row r="54" spans="1:25">
      <c r="E54" s="80">
        <f>SUM(E7:E49)</f>
        <v>908826.70000000007</v>
      </c>
      <c r="L54" t="s">
        <v>151</v>
      </c>
      <c r="Y54" s="50"/>
    </row>
    <row r="56" spans="1:25">
      <c r="E56" s="160">
        <f>E54-E50</f>
        <v>0</v>
      </c>
    </row>
  </sheetData>
  <mergeCells count="273">
    <mergeCell ref="AM37:AM40"/>
    <mergeCell ref="U25:W25"/>
    <mergeCell ref="F26:H26"/>
    <mergeCell ref="F27:H27"/>
    <mergeCell ref="I27:K27"/>
    <mergeCell ref="L27:N27"/>
    <mergeCell ref="O27:Q27"/>
    <mergeCell ref="L30:N30"/>
    <mergeCell ref="L39:N39"/>
    <mergeCell ref="L37:N37"/>
    <mergeCell ref="R27:T27"/>
    <mergeCell ref="U27:W27"/>
    <mergeCell ref="I29:K29"/>
    <mergeCell ref="L25:N25"/>
    <mergeCell ref="O25:Q25"/>
    <mergeCell ref="R25:T25"/>
    <mergeCell ref="L28:N28"/>
    <mergeCell ref="O28:Q28"/>
    <mergeCell ref="R28:T28"/>
    <mergeCell ref="R34:T34"/>
    <mergeCell ref="O36:Q36"/>
    <mergeCell ref="R36:T36"/>
    <mergeCell ref="U36:W36"/>
    <mergeCell ref="R37:T37"/>
    <mergeCell ref="U10:W10"/>
    <mergeCell ref="U12:W12"/>
    <mergeCell ref="U13:W13"/>
    <mergeCell ref="U15:W15"/>
    <mergeCell ref="U9:W9"/>
    <mergeCell ref="I34:K34"/>
    <mergeCell ref="I28:K28"/>
    <mergeCell ref="L12:N12"/>
    <mergeCell ref="L10:N10"/>
    <mergeCell ref="L16:N16"/>
    <mergeCell ref="U16:W16"/>
    <mergeCell ref="O16:Q16"/>
    <mergeCell ref="R16:T16"/>
    <mergeCell ref="I13:K13"/>
    <mergeCell ref="L22:N22"/>
    <mergeCell ref="O22:Q22"/>
    <mergeCell ref="U34:W34"/>
    <mergeCell ref="I22:K22"/>
    <mergeCell ref="R22:T22"/>
    <mergeCell ref="U22:W22"/>
    <mergeCell ref="I24:K24"/>
    <mergeCell ref="L24:N24"/>
    <mergeCell ref="O24:Q24"/>
    <mergeCell ref="R24:T24"/>
    <mergeCell ref="B10:C12"/>
    <mergeCell ref="F1:W3"/>
    <mergeCell ref="A4:W4"/>
    <mergeCell ref="F5:W5"/>
    <mergeCell ref="U6:W6"/>
    <mergeCell ref="F8:H8"/>
    <mergeCell ref="F12:H12"/>
    <mergeCell ref="A34:A36"/>
    <mergeCell ref="B34:C36"/>
    <mergeCell ref="D34:D36"/>
    <mergeCell ref="E34:E36"/>
    <mergeCell ref="F34:H34"/>
    <mergeCell ref="E10:E12"/>
    <mergeCell ref="F18:H18"/>
    <mergeCell ref="A31:A33"/>
    <mergeCell ref="B31:C33"/>
    <mergeCell ref="U7:W7"/>
    <mergeCell ref="A10:A12"/>
    <mergeCell ref="I15:K15"/>
    <mergeCell ref="I16:K16"/>
    <mergeCell ref="I19:K19"/>
    <mergeCell ref="F20:H20"/>
    <mergeCell ref="D10:D12"/>
    <mergeCell ref="F10:H10"/>
    <mergeCell ref="A7:A9"/>
    <mergeCell ref="B7:C9"/>
    <mergeCell ref="D7:D9"/>
    <mergeCell ref="F7:H7"/>
    <mergeCell ref="I7:K7"/>
    <mergeCell ref="L7:N7"/>
    <mergeCell ref="A1:E3"/>
    <mergeCell ref="A5:E5"/>
    <mergeCell ref="B6:C6"/>
    <mergeCell ref="F6:H6"/>
    <mergeCell ref="E7:E9"/>
    <mergeCell ref="R6:T6"/>
    <mergeCell ref="F9:H9"/>
    <mergeCell ref="I9:K9"/>
    <mergeCell ref="L6:N6"/>
    <mergeCell ref="F13:H13"/>
    <mergeCell ref="L9:N9"/>
    <mergeCell ref="I12:K12"/>
    <mergeCell ref="O12:Q12"/>
    <mergeCell ref="R12:T12"/>
    <mergeCell ref="O13:Q13"/>
    <mergeCell ref="O6:Q6"/>
    <mergeCell ref="I6:K6"/>
    <mergeCell ref="L13:N13"/>
    <mergeCell ref="I10:K10"/>
    <mergeCell ref="F11:H11"/>
    <mergeCell ref="O7:Q7"/>
    <mergeCell ref="R7:T7"/>
    <mergeCell ref="F16:H16"/>
    <mergeCell ref="A13:A15"/>
    <mergeCell ref="B13:C15"/>
    <mergeCell ref="D13:D15"/>
    <mergeCell ref="L18:N18"/>
    <mergeCell ref="I18:K18"/>
    <mergeCell ref="F17:H17"/>
    <mergeCell ref="F15:H15"/>
    <mergeCell ref="L15:N15"/>
    <mergeCell ref="A16:A18"/>
    <mergeCell ref="B16:C18"/>
    <mergeCell ref="D16:D18"/>
    <mergeCell ref="E16:E18"/>
    <mergeCell ref="E13:E15"/>
    <mergeCell ref="F14:H14"/>
    <mergeCell ref="L19:N19"/>
    <mergeCell ref="A19:A21"/>
    <mergeCell ref="B19:C21"/>
    <mergeCell ref="D19:D21"/>
    <mergeCell ref="E19:E21"/>
    <mergeCell ref="F19:H19"/>
    <mergeCell ref="F21:H21"/>
    <mergeCell ref="I21:K21"/>
    <mergeCell ref="D31:D33"/>
    <mergeCell ref="E31:E33"/>
    <mergeCell ref="F31:H31"/>
    <mergeCell ref="I31:K31"/>
    <mergeCell ref="F30:H30"/>
    <mergeCell ref="E28:E30"/>
    <mergeCell ref="F33:H33"/>
    <mergeCell ref="I33:K33"/>
    <mergeCell ref="I30:K30"/>
    <mergeCell ref="A22:A24"/>
    <mergeCell ref="B22:C24"/>
    <mergeCell ref="D22:D24"/>
    <mergeCell ref="E22:E24"/>
    <mergeCell ref="F22:H22"/>
    <mergeCell ref="F23:H23"/>
    <mergeCell ref="F24:H24"/>
    <mergeCell ref="A37:A39"/>
    <mergeCell ref="B37:C39"/>
    <mergeCell ref="D37:D39"/>
    <mergeCell ref="E37:E39"/>
    <mergeCell ref="F37:H37"/>
    <mergeCell ref="I37:K37"/>
    <mergeCell ref="F39:H39"/>
    <mergeCell ref="I39:K39"/>
    <mergeCell ref="L21:N21"/>
    <mergeCell ref="A25:A27"/>
    <mergeCell ref="B25:C27"/>
    <mergeCell ref="D25:D27"/>
    <mergeCell ref="E25:E27"/>
    <mergeCell ref="F25:H25"/>
    <mergeCell ref="I25:K25"/>
    <mergeCell ref="A40:A42"/>
    <mergeCell ref="B40:C42"/>
    <mergeCell ref="O9:Q9"/>
    <mergeCell ref="R9:T9"/>
    <mergeCell ref="O15:Q15"/>
    <mergeCell ref="L33:N33"/>
    <mergeCell ref="R13:T13"/>
    <mergeCell ref="L34:N34"/>
    <mergeCell ref="O10:Q10"/>
    <mergeCell ref="R10:T10"/>
    <mergeCell ref="D40:D42"/>
    <mergeCell ref="E40:E42"/>
    <mergeCell ref="F40:H40"/>
    <mergeCell ref="I40:K40"/>
    <mergeCell ref="L40:N40"/>
    <mergeCell ref="F36:H36"/>
    <mergeCell ref="I36:K36"/>
    <mergeCell ref="L36:N36"/>
    <mergeCell ref="A28:A30"/>
    <mergeCell ref="B28:C30"/>
    <mergeCell ref="F28:H28"/>
    <mergeCell ref="L31:N31"/>
    <mergeCell ref="R15:T15"/>
    <mergeCell ref="O34:Q34"/>
    <mergeCell ref="U18:W18"/>
    <mergeCell ref="U28:W28"/>
    <mergeCell ref="U30:W30"/>
    <mergeCell ref="O19:Q19"/>
    <mergeCell ref="R19:T19"/>
    <mergeCell ref="O21:Q21"/>
    <mergeCell ref="R21:T21"/>
    <mergeCell ref="U19:W19"/>
    <mergeCell ref="U21:W21"/>
    <mergeCell ref="O18:Q18"/>
    <mergeCell ref="R18:T18"/>
    <mergeCell ref="U24:W24"/>
    <mergeCell ref="O30:Q30"/>
    <mergeCell ref="R30:T30"/>
    <mergeCell ref="R31:T31"/>
    <mergeCell ref="O33:Q33"/>
    <mergeCell ref="R33:T33"/>
    <mergeCell ref="U31:W31"/>
    <mergeCell ref="U33:W33"/>
    <mergeCell ref="O31:Q31"/>
    <mergeCell ref="U37:W37"/>
    <mergeCell ref="O37:Q37"/>
    <mergeCell ref="O51:Q51"/>
    <mergeCell ref="O49:Q49"/>
    <mergeCell ref="R49:T49"/>
    <mergeCell ref="U49:W49"/>
    <mergeCell ref="R43:T43"/>
    <mergeCell ref="U39:W39"/>
    <mergeCell ref="U40:W40"/>
    <mergeCell ref="U42:W42"/>
    <mergeCell ref="U43:W43"/>
    <mergeCell ref="U45:W45"/>
    <mergeCell ref="U48:W48"/>
    <mergeCell ref="L49:N49"/>
    <mergeCell ref="I49:K49"/>
    <mergeCell ref="O40:Q40"/>
    <mergeCell ref="R40:T40"/>
    <mergeCell ref="O42:Q42"/>
    <mergeCell ref="R42:T42"/>
    <mergeCell ref="L46:N46"/>
    <mergeCell ref="I42:K42"/>
    <mergeCell ref="F42:H42"/>
    <mergeCell ref="L42:N42"/>
    <mergeCell ref="F43:H43"/>
    <mergeCell ref="I43:K43"/>
    <mergeCell ref="L43:N43"/>
    <mergeCell ref="O43:Q43"/>
    <mergeCell ref="A50:C50"/>
    <mergeCell ref="L48:N48"/>
    <mergeCell ref="O48:Q48"/>
    <mergeCell ref="R48:T48"/>
    <mergeCell ref="D51:E51"/>
    <mergeCell ref="F51:H51"/>
    <mergeCell ref="E43:E45"/>
    <mergeCell ref="O39:Q39"/>
    <mergeCell ref="R39:T39"/>
    <mergeCell ref="F50:H50"/>
    <mergeCell ref="I50:K50"/>
    <mergeCell ref="L50:N50"/>
    <mergeCell ref="D46:D48"/>
    <mergeCell ref="R50:T50"/>
    <mergeCell ref="I51:K51"/>
    <mergeCell ref="L51:N51"/>
    <mergeCell ref="F45:H45"/>
    <mergeCell ref="I45:K45"/>
    <mergeCell ref="L45:N45"/>
    <mergeCell ref="O45:Q45"/>
    <mergeCell ref="R45:T45"/>
    <mergeCell ref="O50:Q50"/>
    <mergeCell ref="F49:H49"/>
    <mergeCell ref="R51:T51"/>
    <mergeCell ref="A43:A45"/>
    <mergeCell ref="B43:C45"/>
    <mergeCell ref="D43:D45"/>
    <mergeCell ref="D52:E52"/>
    <mergeCell ref="F52:H52"/>
    <mergeCell ref="I52:K52"/>
    <mergeCell ref="L52:N52"/>
    <mergeCell ref="O52:Q52"/>
    <mergeCell ref="U52:W52"/>
    <mergeCell ref="A46:A48"/>
    <mergeCell ref="B46:C48"/>
    <mergeCell ref="E46:E48"/>
    <mergeCell ref="F46:H46"/>
    <mergeCell ref="I46:K46"/>
    <mergeCell ref="O46:Q46"/>
    <mergeCell ref="R46:T46"/>
    <mergeCell ref="U46:W46"/>
    <mergeCell ref="F48:H48"/>
    <mergeCell ref="I48:K48"/>
    <mergeCell ref="A51:C52"/>
    <mergeCell ref="U50:W50"/>
    <mergeCell ref="U51:W51"/>
    <mergeCell ref="R52:T52"/>
    <mergeCell ref="B49:C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A1:X69"/>
  <sheetViews>
    <sheetView zoomScaleNormal="100" workbookViewId="0">
      <pane ySplit="7" topLeftCell="A8" activePane="bottomLeft" state="frozen"/>
      <selection pane="bottomLeft" activeCell="Q19" sqref="Q19"/>
    </sheetView>
  </sheetViews>
  <sheetFormatPr defaultRowHeight="12.75"/>
  <cols>
    <col min="1" max="1" width="24.85546875" customWidth="1"/>
    <col min="2" max="2" width="4.140625" customWidth="1"/>
    <col min="3" max="3" width="2.7109375" customWidth="1"/>
    <col min="4" max="4" width="5" customWidth="1"/>
    <col min="5" max="5" width="4.85546875" customWidth="1"/>
    <col min="6" max="6" width="2.7109375" customWidth="1"/>
    <col min="7" max="7" width="4.85546875" customWidth="1"/>
    <col min="8" max="8" width="9.7109375" customWidth="1"/>
    <col min="9" max="9" width="7.7109375" customWidth="1"/>
    <col min="10" max="10" width="5.7109375" customWidth="1"/>
    <col min="11" max="11" width="6" customWidth="1"/>
    <col min="12" max="12" width="7.5703125" customWidth="1"/>
    <col min="13" max="13" width="10.5703125" customWidth="1"/>
    <col min="14" max="14" width="10.5703125" bestFit="1" customWidth="1"/>
    <col min="15" max="15" width="10.7109375" bestFit="1" customWidth="1"/>
    <col min="16" max="16" width="12" bestFit="1" customWidth="1"/>
    <col min="17" max="17" width="11.5703125" bestFit="1" customWidth="1"/>
    <col min="18" max="18" width="9" bestFit="1" customWidth="1"/>
    <col min="19" max="19" width="10.28515625" customWidth="1"/>
    <col min="20" max="20" width="12" customWidth="1"/>
    <col min="21" max="21" width="10.42578125" customWidth="1"/>
    <col min="22" max="23" width="9.28515625" customWidth="1"/>
    <col min="24" max="24" width="11.7109375" customWidth="1"/>
  </cols>
  <sheetData>
    <row r="1" spans="1:24" ht="18.75" customHeight="1">
      <c r="A1" s="245" t="s">
        <v>78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7"/>
    </row>
    <row r="2" spans="1:24" ht="20.25">
      <c r="A2" s="248" t="str">
        <f>QUANT!A2</f>
        <v>BAIRRO: NOVA ESPERANÇA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249"/>
    </row>
    <row r="3" spans="1:24" ht="15.75">
      <c r="A3" s="853" t="str">
        <f>QUANT!A3</f>
        <v>RUAS: NOVA ESPERAÇA</v>
      </c>
      <c r="B3" s="854"/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4"/>
      <c r="Q3" s="854"/>
      <c r="R3" s="854"/>
      <c r="S3" s="854"/>
      <c r="T3" s="854"/>
      <c r="U3" s="854"/>
      <c r="V3" s="854"/>
      <c r="W3" s="854"/>
      <c r="X3" s="855"/>
    </row>
    <row r="4" spans="1:24" ht="20.25">
      <c r="A4" s="862" t="s">
        <v>183</v>
      </c>
      <c r="B4" s="862"/>
      <c r="C4" s="862"/>
      <c r="D4" s="862"/>
      <c r="E4" s="862"/>
      <c r="F4" s="862"/>
      <c r="G4" s="862"/>
      <c r="H4" s="862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3"/>
      <c r="X4" s="862"/>
    </row>
    <row r="5" spans="1:24" ht="12" customHeight="1">
      <c r="A5" s="856" t="s">
        <v>46</v>
      </c>
      <c r="B5" s="856" t="s">
        <v>47</v>
      </c>
      <c r="C5" s="856"/>
      <c r="D5" s="856"/>
      <c r="E5" s="856"/>
      <c r="F5" s="856"/>
      <c r="G5" s="856"/>
      <c r="H5" s="857" t="s">
        <v>48</v>
      </c>
      <c r="I5" s="857" t="s">
        <v>213</v>
      </c>
      <c r="J5" s="857"/>
      <c r="K5" s="857"/>
      <c r="L5" s="857"/>
      <c r="M5" s="857" t="s">
        <v>218</v>
      </c>
      <c r="N5" s="857" t="s">
        <v>3</v>
      </c>
      <c r="O5" s="857"/>
      <c r="P5" s="857" t="s">
        <v>184</v>
      </c>
      <c r="Q5" s="857" t="s">
        <v>185</v>
      </c>
      <c r="R5" s="857" t="s">
        <v>186</v>
      </c>
      <c r="S5" s="857" t="s">
        <v>187</v>
      </c>
      <c r="T5" s="858" t="s">
        <v>219</v>
      </c>
      <c r="U5" s="857" t="s">
        <v>347</v>
      </c>
      <c r="V5" s="858" t="s">
        <v>188</v>
      </c>
      <c r="W5" s="858"/>
      <c r="X5" s="864" t="s">
        <v>360</v>
      </c>
    </row>
    <row r="6" spans="1:24" ht="12.75" customHeight="1">
      <c r="A6" s="856"/>
      <c r="B6" s="856" t="s">
        <v>49</v>
      </c>
      <c r="C6" s="856"/>
      <c r="D6" s="856"/>
      <c r="E6" s="856" t="s">
        <v>50</v>
      </c>
      <c r="F6" s="856"/>
      <c r="G6" s="856"/>
      <c r="H6" s="857"/>
      <c r="I6" s="860" t="s">
        <v>214</v>
      </c>
      <c r="J6" s="860" t="s">
        <v>217</v>
      </c>
      <c r="K6" s="860" t="s">
        <v>215</v>
      </c>
      <c r="L6" s="860" t="s">
        <v>216</v>
      </c>
      <c r="M6" s="857"/>
      <c r="N6" s="857" t="s">
        <v>51</v>
      </c>
      <c r="O6" s="857" t="s">
        <v>52</v>
      </c>
      <c r="P6" s="857"/>
      <c r="Q6" s="857"/>
      <c r="R6" s="857"/>
      <c r="S6" s="857"/>
      <c r="T6" s="859"/>
      <c r="U6" s="857"/>
      <c r="V6" s="858"/>
      <c r="W6" s="858"/>
      <c r="X6" s="865"/>
    </row>
    <row r="7" spans="1:24" ht="28.5" customHeight="1">
      <c r="A7" s="856"/>
      <c r="B7" s="856"/>
      <c r="C7" s="856"/>
      <c r="D7" s="856"/>
      <c r="E7" s="856"/>
      <c r="F7" s="856"/>
      <c r="G7" s="856"/>
      <c r="H7" s="857"/>
      <c r="I7" s="860"/>
      <c r="J7" s="860"/>
      <c r="K7" s="860"/>
      <c r="L7" s="860"/>
      <c r="M7" s="857"/>
      <c r="N7" s="857"/>
      <c r="O7" s="857"/>
      <c r="P7" s="857"/>
      <c r="Q7" s="857"/>
      <c r="R7" s="857"/>
      <c r="S7" s="857"/>
      <c r="T7" s="859"/>
      <c r="U7" s="857"/>
      <c r="V7" s="87" t="s">
        <v>220</v>
      </c>
      <c r="W7" s="230" t="s">
        <v>221</v>
      </c>
      <c r="X7" s="230" t="s">
        <v>315</v>
      </c>
    </row>
    <row r="8" spans="1:24" ht="12.75" customHeight="1">
      <c r="A8" s="250" t="s">
        <v>299</v>
      </c>
      <c r="B8" s="144">
        <v>0</v>
      </c>
      <c r="C8" s="145" t="s">
        <v>53</v>
      </c>
      <c r="D8" s="146">
        <v>0</v>
      </c>
      <c r="E8" s="144">
        <v>18</v>
      </c>
      <c r="F8" s="144" t="s">
        <v>53</v>
      </c>
      <c r="G8" s="234">
        <v>10</v>
      </c>
      <c r="H8" s="147">
        <f>(E8*20+G8)-(B8*20+D8)</f>
        <v>370</v>
      </c>
      <c r="I8" s="148">
        <v>1</v>
      </c>
      <c r="J8" s="148">
        <v>3.5</v>
      </c>
      <c r="K8" s="148">
        <v>3.5</v>
      </c>
      <c r="L8" s="175">
        <v>1</v>
      </c>
      <c r="M8" s="148">
        <f>H8*8</f>
        <v>2960</v>
      </c>
      <c r="N8" s="195">
        <v>1193.904</v>
      </c>
      <c r="O8" s="196">
        <v>3874.7139999999999</v>
      </c>
      <c r="P8" s="178">
        <f>INT((I8+J8+K8+L8)*H8*100+0.5)/100</f>
        <v>3330</v>
      </c>
      <c r="Q8" s="178">
        <f>INT((I8+J8+K8+L8)*H8*0.15*100+0.5)/100</f>
        <v>499.5</v>
      </c>
      <c r="R8" s="178">
        <f>INT((I8+J8+K8+L8)*H8*0.15*100+0.5)/100</f>
        <v>499.5</v>
      </c>
      <c r="S8" s="177">
        <f>INT((J8-0.3+K8-0.3)*H8*100+0.5)/100</f>
        <v>2368</v>
      </c>
      <c r="T8" s="177">
        <f>INT(((J8-0.3+K8-0.3))*H8*100+0.5)/100</f>
        <v>2368</v>
      </c>
      <c r="U8" s="177">
        <f>S8*0.04*2.4</f>
        <v>227.328</v>
      </c>
      <c r="V8" s="177">
        <f>H8*2-W8</f>
        <v>706.33</v>
      </c>
      <c r="W8" s="177">
        <v>33.67</v>
      </c>
      <c r="X8" s="524">
        <f>H8*2*0.06*2</f>
        <v>88.8</v>
      </c>
    </row>
    <row r="9" spans="1:24" ht="12.75" customHeight="1">
      <c r="A9" s="229" t="s">
        <v>304</v>
      </c>
      <c r="B9" s="144"/>
      <c r="C9" s="145"/>
      <c r="D9" s="192"/>
      <c r="E9" s="144"/>
      <c r="F9" s="144"/>
      <c r="G9" s="199"/>
      <c r="H9" s="147">
        <v>2.5960000000000001</v>
      </c>
      <c r="I9" s="148">
        <v>1</v>
      </c>
      <c r="J9" s="148">
        <v>3.5</v>
      </c>
      <c r="K9" s="148">
        <v>3.5</v>
      </c>
      <c r="L9" s="175">
        <v>1</v>
      </c>
      <c r="M9" s="148">
        <f>H9*8</f>
        <v>20.768000000000001</v>
      </c>
      <c r="N9" s="195">
        <v>6.2309999999999999</v>
      </c>
      <c r="O9" s="196">
        <v>0</v>
      </c>
      <c r="P9" s="178">
        <f>INT((I9+J9+K9+L9)*H9*100+0.5)/100</f>
        <v>23.36</v>
      </c>
      <c r="Q9" s="178">
        <f>INT((I9+J9+K9+L9)*H9*0.15*100+0.5)/100</f>
        <v>3.5</v>
      </c>
      <c r="R9" s="178">
        <f>INT((I9+J9+K9+L9)*H9*0.15*100+0.5)/100</f>
        <v>3.5</v>
      </c>
      <c r="S9" s="177">
        <f>INT((J9-0.3+K9-0.3)*H9*100+0.5)/100</f>
        <v>16.61</v>
      </c>
      <c r="T9" s="177">
        <f>INT(((J9-0.3+K9-0.3))*H9*100+0.5)/100</f>
        <v>16.61</v>
      </c>
      <c r="U9" s="177">
        <f>S9*0.04*2.4</f>
        <v>1.59456</v>
      </c>
      <c r="V9" s="177">
        <v>0</v>
      </c>
      <c r="W9" s="177">
        <v>0</v>
      </c>
      <c r="X9" s="524">
        <f>H9*2*0.06*2</f>
        <v>0.62304000000000004</v>
      </c>
    </row>
    <row r="10" spans="1:24" s="9" customFormat="1">
      <c r="A10" s="152" t="s">
        <v>305</v>
      </c>
      <c r="B10" s="144"/>
      <c r="C10" s="145" t="s">
        <v>53</v>
      </c>
      <c r="D10" s="146"/>
      <c r="E10" s="144"/>
      <c r="F10" s="144" t="s">
        <v>53</v>
      </c>
      <c r="G10" s="146"/>
      <c r="H10" s="147">
        <v>20</v>
      </c>
      <c r="I10" s="176">
        <v>1</v>
      </c>
      <c r="J10" s="148">
        <v>3.5</v>
      </c>
      <c r="K10" s="148">
        <v>3.5</v>
      </c>
      <c r="L10" s="175">
        <v>1</v>
      </c>
      <c r="M10" s="148">
        <f>H10*8</f>
        <v>160</v>
      </c>
      <c r="N10" s="195">
        <v>48</v>
      </c>
      <c r="O10" s="197">
        <v>0</v>
      </c>
      <c r="P10" s="178">
        <f>INT((I10+J10+K10+L10)*H10*100+0.5)/100</f>
        <v>180</v>
      </c>
      <c r="Q10" s="178">
        <f>INT((I10+J10+K10+L10)*H10*0.15*100+0.5)/100</f>
        <v>27</v>
      </c>
      <c r="R10" s="178">
        <f>INT((I10+J10+K10+L10)*H10*0.15*100+0.5)/100</f>
        <v>27</v>
      </c>
      <c r="S10" s="177">
        <f>INT((J10-0.3+K10-0.3)*H10*100+0.5)/100</f>
        <v>128</v>
      </c>
      <c r="T10" s="177">
        <f>INT(((J10-0.3+K10-0.3))*H10*100+0.5)/100</f>
        <v>128</v>
      </c>
      <c r="U10" s="177">
        <f>S10*0.04*2.4</f>
        <v>12.288</v>
      </c>
      <c r="V10" s="177">
        <f>H10*2-W10</f>
        <v>31.58</v>
      </c>
      <c r="W10" s="177">
        <v>8.42</v>
      </c>
      <c r="X10" s="524">
        <f>H10*2*0.06*2</f>
        <v>4.8</v>
      </c>
    </row>
    <row r="11" spans="1:24" s="9" customFormat="1">
      <c r="A11" s="251" t="s">
        <v>14</v>
      </c>
      <c r="B11" s="866"/>
      <c r="C11" s="867"/>
      <c r="D11" s="867"/>
      <c r="E11" s="867"/>
      <c r="F11" s="867"/>
      <c r="G11" s="868"/>
      <c r="H11" s="252">
        <f>SUM(H8:H10)</f>
        <v>392.596</v>
      </c>
      <c r="I11" s="252"/>
      <c r="J11" s="252"/>
      <c r="K11" s="252"/>
      <c r="L11" s="252"/>
      <c r="M11" s="252">
        <f t="shared" ref="M11:X11" si="0">SUM(M8:M10)</f>
        <v>3140.768</v>
      </c>
      <c r="N11" s="253">
        <f t="shared" si="0"/>
        <v>1248.135</v>
      </c>
      <c r="O11" s="253">
        <f t="shared" si="0"/>
        <v>3874.7139999999999</v>
      </c>
      <c r="P11" s="253">
        <f t="shared" si="0"/>
        <v>3533.36</v>
      </c>
      <c r="Q11" s="253">
        <f t="shared" si="0"/>
        <v>530</v>
      </c>
      <c r="R11" s="253">
        <f t="shared" si="0"/>
        <v>530</v>
      </c>
      <c r="S11" s="253">
        <f t="shared" si="0"/>
        <v>2512.61</v>
      </c>
      <c r="T11" s="253">
        <f t="shared" si="0"/>
        <v>2512.61</v>
      </c>
      <c r="U11" s="253">
        <f t="shared" si="0"/>
        <v>241.21056000000002</v>
      </c>
      <c r="V11" s="253">
        <f t="shared" si="0"/>
        <v>737.91000000000008</v>
      </c>
      <c r="W11" s="253">
        <f>SUM(W8:W10)</f>
        <v>42.09</v>
      </c>
      <c r="X11" s="523">
        <f t="shared" si="0"/>
        <v>94.223039999999997</v>
      </c>
    </row>
    <row r="12" spans="1:24">
      <c r="A12" s="149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1"/>
      <c r="O12" s="151"/>
      <c r="P12" s="151"/>
      <c r="Q12" s="151"/>
      <c r="R12" s="151"/>
      <c r="S12" s="151"/>
      <c r="T12" s="151"/>
      <c r="U12" s="151"/>
      <c r="V12" s="528"/>
      <c r="W12" s="528"/>
      <c r="X12" s="528"/>
    </row>
    <row r="13" spans="1:24">
      <c r="Q13" s="50"/>
    </row>
    <row r="14" spans="1:24">
      <c r="O14">
        <f>O11*1.15</f>
        <v>4455.9210999999996</v>
      </c>
      <c r="P14" s="223"/>
      <c r="Q14" s="224"/>
    </row>
    <row r="15" spans="1:24" ht="12" customHeight="1">
      <c r="N15" s="50">
        <f>(O11-(N11/1.2))*1.2</f>
        <v>3401.5217999999995</v>
      </c>
    </row>
    <row r="16" spans="1:24" ht="12" customHeight="1">
      <c r="Q16" s="861">
        <f>SUM(Q11:R11)</f>
        <v>1060</v>
      </c>
      <c r="R16" s="861"/>
    </row>
    <row r="17" spans="13:17" ht="12" customHeight="1"/>
    <row r="18" spans="13:17" ht="12" customHeight="1">
      <c r="Q18" s="156">
        <f>Q16*1.2</f>
        <v>1272</v>
      </c>
    </row>
    <row r="19" spans="13:17" ht="12" customHeight="1"/>
    <row r="20" spans="13:17" ht="12" customHeight="1"/>
    <row r="21" spans="13:17" ht="12" customHeight="1"/>
    <row r="22" spans="13:17" ht="12" customHeight="1"/>
    <row r="23" spans="13:17" ht="12" customHeight="1">
      <c r="M23" s="157"/>
    </row>
    <row r="24" spans="13:17" ht="12" customHeight="1">
      <c r="M24" s="157"/>
    </row>
    <row r="25" spans="13:17" ht="12" customHeight="1">
      <c r="M25" s="157"/>
    </row>
    <row r="26" spans="13:17" ht="12" customHeight="1">
      <c r="M26" s="157"/>
    </row>
    <row r="27" spans="13:17" ht="12" customHeight="1"/>
    <row r="28" spans="13:17" ht="12" customHeight="1"/>
    <row r="29" spans="13:17" ht="12" customHeight="1"/>
    <row r="30" spans="13:17" ht="12" customHeight="1"/>
    <row r="31" spans="13:17" ht="12" customHeight="1"/>
    <row r="32" spans="13:1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26">
    <mergeCell ref="Q16:R16"/>
    <mergeCell ref="A4:X4"/>
    <mergeCell ref="L6:L7"/>
    <mergeCell ref="H5:H7"/>
    <mergeCell ref="O6:O7"/>
    <mergeCell ref="I6:I7"/>
    <mergeCell ref="M5:M7"/>
    <mergeCell ref="V5:W6"/>
    <mergeCell ref="X5:X6"/>
    <mergeCell ref="B11:G11"/>
    <mergeCell ref="A3:X3"/>
    <mergeCell ref="A5:A7"/>
    <mergeCell ref="U5:U7"/>
    <mergeCell ref="B6:D7"/>
    <mergeCell ref="T5:T7"/>
    <mergeCell ref="E6:G7"/>
    <mergeCell ref="P5:P7"/>
    <mergeCell ref="S5:S7"/>
    <mergeCell ref="Q5:Q7"/>
    <mergeCell ref="B5:G5"/>
    <mergeCell ref="I5:L5"/>
    <mergeCell ref="K6:K7"/>
    <mergeCell ref="J6:J7"/>
    <mergeCell ref="R5:R7"/>
    <mergeCell ref="N5:O5"/>
    <mergeCell ref="N6:N7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U46"/>
  <sheetViews>
    <sheetView zoomScale="80" zoomScaleNormal="80" workbookViewId="0">
      <selection activeCell="D46" sqref="D46"/>
    </sheetView>
  </sheetViews>
  <sheetFormatPr defaultRowHeight="12.75"/>
  <cols>
    <col min="1" max="1" width="22.42578125" customWidth="1"/>
    <col min="2" max="2" width="36.140625" bestFit="1" customWidth="1"/>
    <col min="3" max="3" width="9.42578125" bestFit="1" customWidth="1"/>
    <col min="4" max="4" width="10.5703125" customWidth="1"/>
    <col min="5" max="5" width="10.7109375" customWidth="1"/>
    <col min="6" max="6" width="11.7109375" customWidth="1"/>
    <col min="7" max="8" width="9.42578125" bestFit="1" customWidth="1"/>
    <col min="9" max="9" width="11.140625" bestFit="1" customWidth="1"/>
    <col min="10" max="10" width="17.7109375" customWidth="1"/>
    <col min="13" max="13" width="9.140625" customWidth="1"/>
    <col min="14" max="14" width="13.5703125" customWidth="1"/>
    <col min="15" max="15" width="9.7109375" bestFit="1" customWidth="1"/>
  </cols>
  <sheetData>
    <row r="1" spans="1:10">
      <c r="A1" s="82" t="s">
        <v>78</v>
      </c>
      <c r="B1" s="82"/>
      <c r="C1" s="83"/>
      <c r="D1" s="83"/>
      <c r="E1" s="83"/>
      <c r="F1" s="83"/>
      <c r="G1" s="83"/>
      <c r="H1" s="83"/>
      <c r="I1" s="83"/>
      <c r="J1" s="84"/>
    </row>
    <row r="2" spans="1:10">
      <c r="A2" s="877" t="str">
        <f>QUANT!A2</f>
        <v>BAIRRO: NOVA ESPERANÇA</v>
      </c>
      <c r="B2" s="878"/>
      <c r="C2" s="878"/>
      <c r="D2" s="878"/>
      <c r="E2" s="878"/>
      <c r="F2" s="878"/>
      <c r="G2" s="878"/>
      <c r="H2" s="878"/>
      <c r="I2" s="878"/>
      <c r="J2" s="879"/>
    </row>
    <row r="3" spans="1:10" ht="28.5" customHeight="1">
      <c r="A3" s="871" t="str">
        <f>QUANT!A3</f>
        <v>RUAS: NOVA ESPERAÇA</v>
      </c>
      <c r="B3" s="872"/>
      <c r="C3" s="872"/>
      <c r="D3" s="872"/>
      <c r="E3" s="872"/>
      <c r="F3" s="872"/>
      <c r="G3" s="872"/>
      <c r="H3" s="872"/>
      <c r="I3" s="872"/>
      <c r="J3" s="873"/>
    </row>
    <row r="4" spans="1:10">
      <c r="A4" s="880" t="s">
        <v>124</v>
      </c>
      <c r="B4" s="881"/>
      <c r="C4" s="881"/>
      <c r="D4" s="881"/>
      <c r="E4" s="881"/>
      <c r="F4" s="881"/>
      <c r="G4" s="881"/>
      <c r="H4" s="881"/>
      <c r="I4" s="881"/>
      <c r="J4" s="882"/>
    </row>
    <row r="5" spans="1:10">
      <c r="A5" s="883"/>
      <c r="B5" s="884"/>
      <c r="C5" s="884"/>
      <c r="D5" s="884"/>
      <c r="E5" s="884"/>
      <c r="F5" s="884"/>
      <c r="G5" s="884"/>
      <c r="H5" s="884"/>
      <c r="I5" s="884"/>
      <c r="J5" s="885"/>
    </row>
    <row r="6" spans="1:10" ht="26.25" customHeight="1">
      <c r="A6" s="886" t="s">
        <v>298</v>
      </c>
      <c r="B6" s="887"/>
      <c r="C6" s="874" t="s">
        <v>166</v>
      </c>
      <c r="D6" s="874" t="s">
        <v>125</v>
      </c>
      <c r="E6" s="93" t="s">
        <v>126</v>
      </c>
      <c r="F6" s="93" t="s">
        <v>127</v>
      </c>
      <c r="G6" s="93" t="s">
        <v>128</v>
      </c>
      <c r="H6" s="93" t="s">
        <v>129</v>
      </c>
      <c r="I6" s="93" t="s">
        <v>130</v>
      </c>
      <c r="J6" s="127" t="s">
        <v>131</v>
      </c>
    </row>
    <row r="7" spans="1:10" ht="25.5">
      <c r="A7" s="888"/>
      <c r="B7" s="889"/>
      <c r="C7" s="874"/>
      <c r="D7" s="874"/>
      <c r="E7" s="94" t="s">
        <v>132</v>
      </c>
      <c r="F7" s="94" t="s">
        <v>133</v>
      </c>
      <c r="G7" s="94" t="s">
        <v>134</v>
      </c>
      <c r="H7" s="94" t="s">
        <v>135</v>
      </c>
      <c r="I7" s="94" t="s">
        <v>148</v>
      </c>
      <c r="J7" s="127"/>
    </row>
    <row r="8" spans="1:10">
      <c r="A8" s="152"/>
      <c r="B8" s="95"/>
      <c r="C8" s="91"/>
      <c r="D8" s="134"/>
      <c r="E8" s="134"/>
      <c r="F8" s="88"/>
      <c r="G8" s="88"/>
      <c r="H8" s="88"/>
      <c r="I8" s="88"/>
      <c r="J8" s="88"/>
    </row>
    <row r="9" spans="1:10" ht="12.75" customHeight="1">
      <c r="A9" s="899" t="s">
        <v>299</v>
      </c>
      <c r="B9" s="95" t="s">
        <v>167</v>
      </c>
      <c r="C9" s="91">
        <v>83</v>
      </c>
      <c r="D9" s="134">
        <v>0.8</v>
      </c>
      <c r="E9" s="134">
        <v>1.6</v>
      </c>
      <c r="F9" s="153">
        <v>1.8</v>
      </c>
      <c r="G9" s="153">
        <v>1.8</v>
      </c>
      <c r="H9" s="88">
        <f>SUM(F9:G9)/2</f>
        <v>1.8</v>
      </c>
      <c r="I9" s="88">
        <f>SUM(C9*E9*H9)</f>
        <v>239.04000000000002</v>
      </c>
      <c r="J9" s="88">
        <f>SUM(C9*E9)</f>
        <v>132.80000000000001</v>
      </c>
    </row>
    <row r="10" spans="1:10">
      <c r="A10" s="899"/>
      <c r="B10" s="95" t="s">
        <v>167</v>
      </c>
      <c r="C10" s="91">
        <v>90</v>
      </c>
      <c r="D10" s="134">
        <v>0.8</v>
      </c>
      <c r="E10" s="134">
        <v>1.6</v>
      </c>
      <c r="F10" s="153">
        <v>1.8</v>
      </c>
      <c r="G10" s="153">
        <v>1.8</v>
      </c>
      <c r="H10" s="88">
        <f>SUM(F10:G10)/2</f>
        <v>1.8</v>
      </c>
      <c r="I10" s="88">
        <f>SUM(C10*E10*H10)</f>
        <v>259.2</v>
      </c>
      <c r="J10" s="88">
        <f>SUM(C10*E10)</f>
        <v>144</v>
      </c>
    </row>
    <row r="11" spans="1:10">
      <c r="A11" s="899"/>
      <c r="B11" s="95" t="s">
        <v>167</v>
      </c>
      <c r="C11" s="91">
        <v>70</v>
      </c>
      <c r="D11" s="134">
        <v>0.8</v>
      </c>
      <c r="E11" s="134">
        <v>1.6</v>
      </c>
      <c r="F11" s="153">
        <v>1.8</v>
      </c>
      <c r="G11" s="153">
        <v>1.8</v>
      </c>
      <c r="H11" s="88">
        <f>SUM(F11:G11)/2</f>
        <v>1.8</v>
      </c>
      <c r="I11" s="88">
        <f>SUM(C11*E11*H11)</f>
        <v>201.6</v>
      </c>
      <c r="J11" s="88">
        <f>SUM(C11*E11)</f>
        <v>112</v>
      </c>
    </row>
    <row r="12" spans="1:10">
      <c r="A12" s="899"/>
      <c r="B12" s="95" t="s">
        <v>167</v>
      </c>
      <c r="C12" s="91">
        <v>12</v>
      </c>
      <c r="D12" s="134">
        <v>0.8</v>
      </c>
      <c r="E12" s="134">
        <v>1.6</v>
      </c>
      <c r="F12" s="153">
        <v>1.901</v>
      </c>
      <c r="G12" s="153">
        <v>1.8</v>
      </c>
      <c r="H12" s="88">
        <f>SUM(F12:G12)/2</f>
        <v>1.8505</v>
      </c>
      <c r="I12" s="88">
        <f>SUM(C12*E12*H12)</f>
        <v>35.529600000000009</v>
      </c>
      <c r="J12" s="88">
        <f>SUM(C12*E12)</f>
        <v>19.200000000000003</v>
      </c>
    </row>
    <row r="13" spans="1:10">
      <c r="A13" s="226"/>
      <c r="B13" s="95"/>
      <c r="C13" s="91"/>
      <c r="D13" s="134"/>
      <c r="E13" s="134"/>
      <c r="F13" s="153"/>
      <c r="G13" s="153"/>
      <c r="H13" s="88"/>
      <c r="I13" s="88"/>
      <c r="J13" s="88"/>
    </row>
    <row r="14" spans="1:10">
      <c r="A14" s="225"/>
      <c r="B14" s="95"/>
      <c r="C14" s="91"/>
      <c r="D14" s="134"/>
      <c r="E14" s="134"/>
      <c r="F14" s="153"/>
      <c r="G14" s="153"/>
      <c r="H14" s="88"/>
      <c r="I14" s="88"/>
      <c r="J14" s="88"/>
    </row>
    <row r="15" spans="1:10">
      <c r="A15" s="226"/>
      <c r="B15" s="95"/>
      <c r="C15" s="91"/>
      <c r="D15" s="134"/>
      <c r="E15" s="134"/>
      <c r="F15" s="153"/>
      <c r="G15" s="153"/>
      <c r="H15" s="88"/>
      <c r="I15" s="88"/>
      <c r="J15" s="88"/>
    </row>
    <row r="16" spans="1:10">
      <c r="A16" s="152"/>
      <c r="B16" s="95"/>
      <c r="C16" s="88"/>
      <c r="D16" s="134"/>
      <c r="E16" s="134"/>
      <c r="F16" s="153"/>
      <c r="G16" s="153"/>
      <c r="H16" s="88"/>
      <c r="I16" s="88"/>
      <c r="J16" s="88"/>
    </row>
    <row r="17" spans="1:14">
      <c r="A17" s="205"/>
      <c r="B17" s="283"/>
      <c r="C17" s="284"/>
      <c r="D17" s="285"/>
      <c r="E17" s="285"/>
      <c r="F17" s="286"/>
      <c r="G17" s="286"/>
      <c r="H17" s="284"/>
      <c r="I17" s="284"/>
      <c r="J17" s="284"/>
    </row>
    <row r="18" spans="1:14" ht="15">
      <c r="A18" s="292" t="s">
        <v>284</v>
      </c>
      <c r="B18" s="293" t="s">
        <v>283</v>
      </c>
      <c r="C18" s="193">
        <f>(C21+C22+C23)*6</f>
        <v>60</v>
      </c>
      <c r="D18" s="154">
        <v>60</v>
      </c>
      <c r="E18" s="134">
        <v>1.4</v>
      </c>
      <c r="F18" s="153">
        <v>1.6</v>
      </c>
      <c r="G18" s="153">
        <v>4.5</v>
      </c>
      <c r="H18" s="88">
        <v>1.6140000000000001</v>
      </c>
      <c r="I18" s="88">
        <f>SUM(C18*E18*H18)</f>
        <v>135.57600000000002</v>
      </c>
      <c r="J18" s="88">
        <f>SUM(C18*E18)</f>
        <v>84</v>
      </c>
    </row>
    <row r="19" spans="1:14" ht="15">
      <c r="A19" s="206"/>
      <c r="B19" s="287"/>
      <c r="C19" s="288"/>
      <c r="D19" s="288"/>
      <c r="E19" s="289"/>
      <c r="F19" s="290"/>
      <c r="G19" s="290"/>
      <c r="H19" s="291"/>
      <c r="I19" s="291"/>
      <c r="J19" s="291"/>
    </row>
    <row r="20" spans="1:14" ht="15">
      <c r="A20" s="206"/>
      <c r="B20" s="207"/>
      <c r="C20" s="154"/>
      <c r="D20" s="154"/>
      <c r="E20" s="96"/>
      <c r="F20" s="155"/>
      <c r="G20" s="155"/>
      <c r="H20" s="88"/>
      <c r="I20" s="88"/>
      <c r="J20" s="88"/>
    </row>
    <row r="21" spans="1:14">
      <c r="A21" s="206"/>
      <c r="B21" s="208" t="s">
        <v>136</v>
      </c>
      <c r="C21" s="182">
        <v>0</v>
      </c>
      <c r="D21" s="183">
        <v>1.6</v>
      </c>
      <c r="E21" s="184">
        <v>2.2000000000000002</v>
      </c>
      <c r="F21" s="182"/>
      <c r="G21" s="182"/>
      <c r="H21" s="182">
        <v>1.7</v>
      </c>
      <c r="I21" s="182">
        <f>C21*D21*E21*H21</f>
        <v>0</v>
      </c>
      <c r="J21" s="185">
        <f>C21*E21</f>
        <v>0</v>
      </c>
    </row>
    <row r="22" spans="1:14">
      <c r="A22" s="206"/>
      <c r="B22" s="208" t="s">
        <v>275</v>
      </c>
      <c r="C22" s="182">
        <v>10</v>
      </c>
      <c r="D22" s="183">
        <v>1.6</v>
      </c>
      <c r="E22" s="184">
        <v>3.2</v>
      </c>
      <c r="F22" s="182">
        <v>0</v>
      </c>
      <c r="G22" s="182">
        <v>0</v>
      </c>
      <c r="H22" s="182">
        <v>1.7</v>
      </c>
      <c r="I22" s="182">
        <f>C22*D22*E22*H22</f>
        <v>87.04</v>
      </c>
      <c r="J22" s="185">
        <f>C22*E22</f>
        <v>32</v>
      </c>
    </row>
    <row r="23" spans="1:14">
      <c r="A23" s="206"/>
      <c r="B23" s="208" t="s">
        <v>276</v>
      </c>
      <c r="C23" s="186">
        <v>0</v>
      </c>
      <c r="D23" s="183">
        <v>1.6</v>
      </c>
      <c r="E23" s="184">
        <v>4.2</v>
      </c>
      <c r="F23" s="182">
        <v>0</v>
      </c>
      <c r="G23" s="182">
        <v>0</v>
      </c>
      <c r="H23" s="182">
        <v>1.7</v>
      </c>
      <c r="I23" s="182">
        <f>C23*D23*E23*H23</f>
        <v>0</v>
      </c>
      <c r="J23" s="185">
        <f>C23*E23</f>
        <v>0</v>
      </c>
    </row>
    <row r="24" spans="1:14" ht="15">
      <c r="A24" s="206"/>
      <c r="B24" s="207"/>
      <c r="C24" s="154"/>
      <c r="D24" s="154"/>
      <c r="E24" s="96"/>
      <c r="F24" s="155"/>
      <c r="G24" s="155"/>
      <c r="H24" s="88"/>
      <c r="I24" s="88"/>
      <c r="J24" s="88"/>
    </row>
    <row r="25" spans="1:14">
      <c r="A25" s="100"/>
      <c r="B25" s="207"/>
      <c r="C25" s="88"/>
      <c r="D25" s="96"/>
      <c r="E25" s="96"/>
      <c r="F25" s="88"/>
      <c r="G25" s="88"/>
      <c r="H25" s="88"/>
      <c r="I25" s="88"/>
      <c r="J25" s="88"/>
    </row>
    <row r="26" spans="1:14">
      <c r="A26" s="875"/>
      <c r="B26" s="207" t="s">
        <v>137</v>
      </c>
      <c r="C26" s="97"/>
      <c r="D26" s="96"/>
      <c r="E26" s="98"/>
      <c r="F26" s="97"/>
      <c r="G26" s="97"/>
      <c r="H26" s="97"/>
      <c r="I26" s="85">
        <f>SUM(I9:I23)</f>
        <v>957.98559999999998</v>
      </c>
      <c r="J26" s="99"/>
    </row>
    <row r="27" spans="1:14">
      <c r="A27" s="876"/>
      <c r="B27" s="207" t="s">
        <v>138</v>
      </c>
      <c r="C27" s="97"/>
      <c r="D27" s="101"/>
      <c r="E27" s="98"/>
      <c r="F27" s="97"/>
      <c r="G27" s="97"/>
      <c r="H27" s="97"/>
      <c r="I27" s="85"/>
      <c r="J27" s="103">
        <f>SUM(J8:J23)</f>
        <v>524</v>
      </c>
    </row>
    <row r="28" spans="1:14">
      <c r="A28" s="875"/>
      <c r="B28" s="95" t="s">
        <v>282</v>
      </c>
      <c r="C28" s="97">
        <v>0</v>
      </c>
      <c r="D28" s="102">
        <f>1.6*2.3*1*C28</f>
        <v>0</v>
      </c>
      <c r="E28" s="88" t="s">
        <v>8</v>
      </c>
      <c r="F28" s="97"/>
      <c r="G28" s="97"/>
      <c r="H28" s="97"/>
      <c r="I28" s="97"/>
      <c r="J28" s="103"/>
    </row>
    <row r="29" spans="1:14">
      <c r="A29" s="875"/>
      <c r="B29" s="95" t="s">
        <v>206</v>
      </c>
      <c r="C29" s="97">
        <v>0</v>
      </c>
      <c r="D29" s="102">
        <v>8.34</v>
      </c>
      <c r="E29" s="88" t="s">
        <v>8</v>
      </c>
      <c r="F29" s="890"/>
      <c r="G29" s="891"/>
      <c r="H29" s="891"/>
      <c r="I29" s="891"/>
      <c r="J29" s="892"/>
    </row>
    <row r="30" spans="1:14" ht="15" customHeight="1">
      <c r="A30" s="875"/>
      <c r="B30" s="95" t="s">
        <v>139</v>
      </c>
      <c r="C30" s="97">
        <v>5</v>
      </c>
      <c r="D30" s="102">
        <f>2.3*1.9*2.7*C30</f>
        <v>58.994999999999997</v>
      </c>
      <c r="E30" s="88"/>
      <c r="F30" s="893"/>
      <c r="G30" s="894"/>
      <c r="H30" s="894"/>
      <c r="I30" s="894"/>
      <c r="J30" s="895"/>
    </row>
    <row r="31" spans="1:14">
      <c r="A31" s="875"/>
      <c r="B31" s="104" t="s">
        <v>168</v>
      </c>
      <c r="C31" s="97">
        <f>C18</f>
        <v>60</v>
      </c>
      <c r="D31" s="102">
        <f>0.76^2*3.1416*C31/4</f>
        <v>27.218822400000001</v>
      </c>
      <c r="E31" s="88" t="s">
        <v>4</v>
      </c>
      <c r="F31" s="893"/>
      <c r="G31" s="894"/>
      <c r="H31" s="894"/>
      <c r="I31" s="894"/>
      <c r="J31" s="895"/>
    </row>
    <row r="32" spans="1:14">
      <c r="A32" s="875"/>
      <c r="B32" s="104" t="s">
        <v>140</v>
      </c>
      <c r="C32" s="97">
        <v>0</v>
      </c>
      <c r="D32" s="102">
        <f>0.76^2*3.1416*C32/4</f>
        <v>0</v>
      </c>
      <c r="E32" s="88" t="s">
        <v>4</v>
      </c>
      <c r="F32" s="893"/>
      <c r="G32" s="894"/>
      <c r="H32" s="894"/>
      <c r="I32" s="894"/>
      <c r="J32" s="895"/>
      <c r="M32" s="870" t="s">
        <v>224</v>
      </c>
      <c r="N32" s="870"/>
    </row>
    <row r="33" spans="1:21">
      <c r="A33" s="875"/>
      <c r="B33" s="104" t="s">
        <v>141</v>
      </c>
      <c r="C33" s="105">
        <f>SUM(C9:C12)</f>
        <v>255</v>
      </c>
      <c r="D33" s="102">
        <f>1^2*3.1416*C33/4</f>
        <v>200.27699999999999</v>
      </c>
      <c r="E33" s="88" t="s">
        <v>4</v>
      </c>
      <c r="F33" s="893"/>
      <c r="G33" s="894"/>
      <c r="H33" s="894"/>
      <c r="I33" s="894"/>
      <c r="J33" s="895"/>
      <c r="M33" s="870" t="s">
        <v>225</v>
      </c>
      <c r="N33" s="870" t="s">
        <v>226</v>
      </c>
      <c r="O33" t="s">
        <v>227</v>
      </c>
      <c r="P33" t="s">
        <v>228</v>
      </c>
      <c r="Q33" t="s">
        <v>229</v>
      </c>
      <c r="R33" t="s">
        <v>230</v>
      </c>
      <c r="T33" s="156" t="s">
        <v>231</v>
      </c>
      <c r="U33" s="156"/>
    </row>
    <row r="34" spans="1:21">
      <c r="A34" s="875"/>
      <c r="B34" s="104" t="s">
        <v>142</v>
      </c>
      <c r="C34" s="105">
        <v>0</v>
      </c>
      <c r="D34" s="102">
        <f>1.24^2*3.1416*C34/4</f>
        <v>0</v>
      </c>
      <c r="E34" s="88" t="s">
        <v>4</v>
      </c>
      <c r="F34" s="893"/>
      <c r="G34" s="894"/>
      <c r="H34" s="894"/>
      <c r="I34" s="894"/>
      <c r="J34" s="895"/>
      <c r="M34" s="869"/>
      <c r="N34" s="869"/>
      <c r="O34" s="156"/>
      <c r="P34" s="157"/>
      <c r="Q34" s="157"/>
      <c r="R34" s="158"/>
      <c r="S34" s="158"/>
      <c r="T34" s="156"/>
      <c r="U34" s="156"/>
    </row>
    <row r="35" spans="1:21">
      <c r="A35" s="875"/>
      <c r="B35" s="104" t="s">
        <v>143</v>
      </c>
      <c r="C35" s="97">
        <v>0</v>
      </c>
      <c r="D35" s="102">
        <f>1.46^2*3.1416*C35/4</f>
        <v>0</v>
      </c>
      <c r="E35" s="88" t="s">
        <v>4</v>
      </c>
      <c r="F35" s="893"/>
      <c r="G35" s="894"/>
      <c r="H35" s="894"/>
      <c r="I35" s="894"/>
      <c r="J35" s="895"/>
      <c r="M35" s="869">
        <v>0.6</v>
      </c>
      <c r="N35" s="869">
        <v>1.4</v>
      </c>
      <c r="O35" s="156">
        <v>0.08</v>
      </c>
      <c r="P35" s="157">
        <v>0.1</v>
      </c>
      <c r="Q35" s="157">
        <v>0.15</v>
      </c>
      <c r="R35" s="158">
        <v>0.26131135415323647</v>
      </c>
      <c r="S35" s="158"/>
      <c r="T35" s="156">
        <v>0.76</v>
      </c>
      <c r="U35" s="156"/>
    </row>
    <row r="36" spans="1:21">
      <c r="A36" s="875"/>
      <c r="B36" s="104" t="s">
        <v>223</v>
      </c>
      <c r="C36" s="97">
        <v>0</v>
      </c>
      <c r="D36" s="102">
        <f>1.76^2*3.1416*C36/4</f>
        <v>0</v>
      </c>
      <c r="E36" s="88" t="s">
        <v>4</v>
      </c>
      <c r="F36" s="893"/>
      <c r="G36" s="894"/>
      <c r="H36" s="894"/>
      <c r="I36" s="894"/>
      <c r="J36" s="895"/>
      <c r="M36" s="869">
        <v>0.8</v>
      </c>
      <c r="N36" s="869">
        <v>1.6</v>
      </c>
      <c r="O36" s="156">
        <v>0.1</v>
      </c>
      <c r="P36" s="157">
        <v>0.1</v>
      </c>
      <c r="Q36" s="157">
        <v>0.2</v>
      </c>
      <c r="R36" s="158">
        <v>0.32645317547305497</v>
      </c>
      <c r="S36" s="158"/>
      <c r="T36" s="156">
        <v>1</v>
      </c>
      <c r="U36" s="156"/>
    </row>
    <row r="37" spans="1:21">
      <c r="A37" s="875"/>
      <c r="B37" s="104" t="s">
        <v>136</v>
      </c>
      <c r="C37" s="97">
        <f>C21</f>
        <v>0</v>
      </c>
      <c r="D37" s="102">
        <f>I21</f>
        <v>0</v>
      </c>
      <c r="E37" s="88" t="s">
        <v>4</v>
      </c>
      <c r="F37" s="893"/>
      <c r="G37" s="894"/>
      <c r="H37" s="894"/>
      <c r="I37" s="894"/>
      <c r="J37" s="895"/>
      <c r="M37" s="869">
        <v>1</v>
      </c>
      <c r="N37" s="869">
        <v>1.8</v>
      </c>
      <c r="O37" s="156">
        <v>0.12</v>
      </c>
      <c r="P37" s="157">
        <v>0.15</v>
      </c>
      <c r="Q37" s="157">
        <v>0.25</v>
      </c>
      <c r="R37" s="158">
        <v>0.48390640260736917</v>
      </c>
      <c r="S37" s="158"/>
      <c r="T37" s="156">
        <v>1.24</v>
      </c>
      <c r="U37" s="156"/>
    </row>
    <row r="38" spans="1:21">
      <c r="A38" s="875"/>
      <c r="B38" s="104" t="s">
        <v>144</v>
      </c>
      <c r="C38" s="97">
        <f>C22</f>
        <v>10</v>
      </c>
      <c r="D38" s="102">
        <f>I22</f>
        <v>87.04</v>
      </c>
      <c r="E38" s="88" t="s">
        <v>4</v>
      </c>
      <c r="F38" s="893"/>
      <c r="G38" s="894"/>
      <c r="H38" s="894"/>
      <c r="I38" s="894"/>
      <c r="J38" s="895"/>
      <c r="M38" s="156">
        <v>1.2</v>
      </c>
      <c r="N38" s="156">
        <v>2</v>
      </c>
      <c r="O38" s="156">
        <v>0.13</v>
      </c>
      <c r="P38" s="157">
        <v>0.15</v>
      </c>
      <c r="Q38" s="157">
        <v>0.3</v>
      </c>
      <c r="R38" s="158">
        <v>0.57269958883836369</v>
      </c>
      <c r="S38" s="158"/>
      <c r="T38" s="156">
        <v>1.46</v>
      </c>
      <c r="U38" s="156"/>
    </row>
    <row r="39" spans="1:21">
      <c r="A39" s="875"/>
      <c r="B39" s="104" t="s">
        <v>155</v>
      </c>
      <c r="C39" s="97">
        <f>C23</f>
        <v>0</v>
      </c>
      <c r="D39" s="102">
        <f>I23</f>
        <v>0</v>
      </c>
      <c r="E39" s="88" t="s">
        <v>4</v>
      </c>
      <c r="F39" s="893"/>
      <c r="G39" s="894"/>
      <c r="H39" s="894"/>
      <c r="I39" s="894"/>
      <c r="J39" s="895"/>
      <c r="M39" s="156">
        <v>1.5</v>
      </c>
      <c r="N39" s="156">
        <v>2.2999999999999998</v>
      </c>
      <c r="O39" s="156">
        <v>0.13</v>
      </c>
      <c r="P39" s="157">
        <v>0.15</v>
      </c>
      <c r="Q39" s="157">
        <v>0.375</v>
      </c>
      <c r="R39" s="158">
        <v>0.73187335634533468</v>
      </c>
      <c r="S39" s="158"/>
      <c r="T39" s="156">
        <v>1.76</v>
      </c>
      <c r="U39" s="156"/>
    </row>
    <row r="40" spans="1:21">
      <c r="A40" s="875"/>
      <c r="B40" s="104" t="s">
        <v>146</v>
      </c>
      <c r="C40" s="97"/>
      <c r="D40" s="102">
        <v>0</v>
      </c>
      <c r="E40" s="88" t="s">
        <v>4</v>
      </c>
      <c r="F40" s="893"/>
      <c r="G40" s="894"/>
      <c r="H40" s="894"/>
      <c r="I40" s="894"/>
      <c r="J40" s="895"/>
    </row>
    <row r="41" spans="1:21">
      <c r="A41" s="875"/>
      <c r="B41" s="104" t="s">
        <v>147</v>
      </c>
      <c r="C41" s="97"/>
      <c r="D41" s="215">
        <v>0</v>
      </c>
      <c r="E41" s="88" t="s">
        <v>4</v>
      </c>
      <c r="F41" s="893"/>
      <c r="G41" s="894"/>
      <c r="H41" s="894"/>
      <c r="I41" s="894"/>
      <c r="J41" s="895"/>
      <c r="M41" s="156">
        <v>0.6</v>
      </c>
      <c r="N41" s="156">
        <v>1.4</v>
      </c>
      <c r="O41" s="156">
        <v>0.08</v>
      </c>
      <c r="P41" s="157">
        <v>0.1</v>
      </c>
      <c r="Q41" s="157">
        <v>0.15</v>
      </c>
      <c r="R41" s="158">
        <v>0.26131135415323647</v>
      </c>
      <c r="S41" s="158"/>
      <c r="T41" s="156">
        <v>0.76</v>
      </c>
      <c r="U41" s="156"/>
    </row>
    <row r="42" spans="1:21">
      <c r="A42" s="875"/>
      <c r="B42" s="106" t="s">
        <v>149</v>
      </c>
      <c r="C42" s="97"/>
      <c r="D42" s="102">
        <f>I26+D37+D38+D39+D28+D29+D30</f>
        <v>1112.3605999999997</v>
      </c>
      <c r="E42" s="88" t="s">
        <v>4</v>
      </c>
      <c r="F42" s="893"/>
      <c r="G42" s="894"/>
      <c r="H42" s="894"/>
      <c r="I42" s="894"/>
      <c r="J42" s="895"/>
      <c r="M42" s="156">
        <v>0.8</v>
      </c>
      <c r="N42" s="156">
        <v>1.6</v>
      </c>
      <c r="O42" s="156">
        <v>0.1</v>
      </c>
      <c r="P42" s="157">
        <v>0.1</v>
      </c>
      <c r="Q42" s="157">
        <v>0.2</v>
      </c>
      <c r="R42" s="158">
        <v>0.32645317547305497</v>
      </c>
      <c r="S42" s="158"/>
      <c r="T42" s="156">
        <v>1</v>
      </c>
      <c r="U42" s="156"/>
    </row>
    <row r="43" spans="1:21">
      <c r="A43" s="875"/>
      <c r="B43" s="106" t="s">
        <v>169</v>
      </c>
      <c r="C43" s="97">
        <v>0</v>
      </c>
      <c r="D43" s="216">
        <f>-D44+D42+D41</f>
        <v>216.99082239999973</v>
      </c>
      <c r="E43" s="88" t="s">
        <v>4</v>
      </c>
      <c r="F43" s="893"/>
      <c r="G43" s="894"/>
      <c r="H43" s="894"/>
      <c r="I43" s="894"/>
      <c r="J43" s="895"/>
      <c r="M43" s="156">
        <v>1</v>
      </c>
      <c r="N43" s="156">
        <v>1.8</v>
      </c>
      <c r="O43" s="156">
        <v>0.12</v>
      </c>
      <c r="P43" s="157">
        <v>0.15</v>
      </c>
      <c r="Q43" s="157">
        <v>0.25</v>
      </c>
      <c r="R43" s="158">
        <v>0.483906402607369</v>
      </c>
      <c r="S43" s="158"/>
      <c r="T43" s="156">
        <v>1.24</v>
      </c>
      <c r="U43" s="156"/>
    </row>
    <row r="44" spans="1:21">
      <c r="A44" s="875"/>
      <c r="B44" s="106" t="s">
        <v>170</v>
      </c>
      <c r="C44" s="106"/>
      <c r="D44" s="217">
        <f>(I26-D31-D32-D33-D34-D35-D36)+164.88</f>
        <v>895.36977760000002</v>
      </c>
      <c r="E44" s="88" t="s">
        <v>4</v>
      </c>
      <c r="F44" s="893"/>
      <c r="G44" s="894"/>
      <c r="H44" s="894"/>
      <c r="I44" s="894"/>
      <c r="J44" s="895"/>
      <c r="M44" s="156">
        <v>1.2</v>
      </c>
      <c r="N44" s="156">
        <v>2</v>
      </c>
      <c r="O44" s="156">
        <v>0.13</v>
      </c>
      <c r="P44" s="157">
        <v>0.15</v>
      </c>
      <c r="Q44" s="157">
        <v>0.3</v>
      </c>
      <c r="R44" s="158">
        <v>0.57269958883836369</v>
      </c>
      <c r="S44" s="158"/>
      <c r="T44" s="156">
        <v>1.46</v>
      </c>
      <c r="U44" s="156"/>
    </row>
    <row r="45" spans="1:21">
      <c r="A45" s="876"/>
      <c r="B45" s="107" t="s">
        <v>145</v>
      </c>
      <c r="C45" s="106"/>
      <c r="D45" s="218">
        <f>J27</f>
        <v>524</v>
      </c>
      <c r="E45" s="88" t="s">
        <v>5</v>
      </c>
      <c r="F45" s="893"/>
      <c r="G45" s="894"/>
      <c r="H45" s="894"/>
      <c r="I45" s="894"/>
      <c r="J45" s="895"/>
      <c r="M45" s="156">
        <v>1.5</v>
      </c>
      <c r="N45" s="156">
        <v>2.2999999999999998</v>
      </c>
      <c r="O45" s="156">
        <v>0.13</v>
      </c>
      <c r="P45" s="157">
        <v>0.15</v>
      </c>
      <c r="Q45" s="157">
        <v>0.375</v>
      </c>
      <c r="R45" s="158">
        <v>0.73187335634533468</v>
      </c>
      <c r="S45" s="158"/>
      <c r="T45" s="156">
        <v>1.76</v>
      </c>
      <c r="U45" s="156"/>
    </row>
    <row r="46" spans="1:21" ht="15" customHeight="1">
      <c r="A46" s="108"/>
      <c r="B46" s="109" t="s">
        <v>156</v>
      </c>
      <c r="C46" s="107"/>
      <c r="D46" s="219">
        <f>C31*0.2613+C32*0.2613+C33*0.3265+C34*0.4829+C35*0.5727+C36*0.7319</f>
        <v>98.935500000000005</v>
      </c>
      <c r="E46" s="88" t="s">
        <v>4</v>
      </c>
      <c r="F46" s="896"/>
      <c r="G46" s="897"/>
      <c r="H46" s="897"/>
      <c r="I46" s="897"/>
      <c r="J46" s="898"/>
    </row>
  </sheetData>
  <mergeCells count="16">
    <mergeCell ref="A28:A45"/>
    <mergeCell ref="A4:J5"/>
    <mergeCell ref="A6:B7"/>
    <mergeCell ref="F29:J46"/>
    <mergeCell ref="A9:A12"/>
    <mergeCell ref="A3:J3"/>
    <mergeCell ref="C6:C7"/>
    <mergeCell ref="D6:D7"/>
    <mergeCell ref="A26:A27"/>
    <mergeCell ref="A2:J2"/>
    <mergeCell ref="M37:N37"/>
    <mergeCell ref="M32:N32"/>
    <mergeCell ref="M33:N33"/>
    <mergeCell ref="M34:N34"/>
    <mergeCell ref="M35:N35"/>
    <mergeCell ref="M36:N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7</vt:i4>
      </vt:variant>
    </vt:vector>
  </HeadingPairs>
  <TitlesOfParts>
    <vt:vector size="20" baseType="lpstr">
      <vt:lpstr>RESUMO</vt:lpstr>
      <vt:lpstr>QUANT</vt:lpstr>
      <vt:lpstr>ORÇA </vt:lpstr>
      <vt:lpstr>TRANSP</vt:lpstr>
      <vt:lpstr>TRANSP CAP RR-2C E CM-30</vt:lpstr>
      <vt:lpstr>AQUISIÇ MAT BETUMISO</vt:lpstr>
      <vt:lpstr>CFF</vt:lpstr>
      <vt:lpstr>TERRAP E PAVIM</vt:lpstr>
      <vt:lpstr>MEMORIAL DE CALCULO</vt:lpstr>
      <vt:lpstr>BDI</vt:lpstr>
      <vt:lpstr>BDI DIFERENCIADO</vt:lpstr>
      <vt:lpstr>SN HOR</vt:lpstr>
      <vt:lpstr>SN VERT</vt:lpstr>
      <vt:lpstr>CFF!Area_de_impressao</vt:lpstr>
      <vt:lpstr>'ORÇA '!Area_de_impressao</vt:lpstr>
      <vt:lpstr>QUANT!Area_de_impressao</vt:lpstr>
      <vt:lpstr>'SN HOR'!Area_de_impressao</vt:lpstr>
      <vt:lpstr>TRANSP!Area_de_impressao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2021-07-26T18:34:41Z</cp:lastPrinted>
  <dcterms:created xsi:type="dcterms:W3CDTF">1997-03-06T18:55:11Z</dcterms:created>
  <dcterms:modified xsi:type="dcterms:W3CDTF">2022-01-31T14:35:30Z</dcterms:modified>
</cp:coreProperties>
</file>